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5180" windowHeight="11640" tabRatio="599"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<sst xmlns="http://schemas.openxmlformats.org/spreadsheetml/2006/main" count="405" uniqueCount="405">
  <si>
    <t xml:space="preserve">Jane y Michael son dos revoltosos niños, que constantemente tienen que cambiar de niñera. Su padre, demasiado serio, sólo se preocupa de su trabajo en el banco y la madre está pendiente de sus campañas como sufragista. Cuando ponen un anuncio para buscar una sustituta, los niños piden en sueños que sea una niñera dulce y amiga. 
</t>
  </si>
  <si>
    <t xml:space="preserve">Holden y Banky triunfan con su comic "Bluntman y Chronic", pero la aparición de Alyssa, una dibujante lesbiana, hará que la relación de los dos amigos se ponga peligrosa.
</t>
  </si>
  <si>
    <t xml:space="preserve">Unos ladrones intentan descubrir unas joyas robadas, porque el único del grupo que sabe el paradero del botín le pillaron y está encarcelado. Entonces planean sacar la información por medio de la fémina del grupo que deberá seducir al abogado defensor del ladrón encarcelado.
</t>
  </si>
  <si>
    <t xml:space="preserve">Andrew Beckett es un joven y ambicioso abogado con una brillante carrera por delante. Querido por sus jefes, Andrew ocupa progresivamente lugares de mayor responsabilidad en el seno del despacho donde trabaja. 
Sin embargo, un día es despedido sin razón aparente. Portador del virus del SIDA, el letrado, convencido de haber sido víctima de una clara situación de prejuicio, acude a varios abogados para llevar el caso a los tribunales, recibiendo negativas constantemente. 
Solamente Joe Miller, un jurista de color cargado de sentimientos homofóbicos, acepta la defensa de Andrew.
</t>
  </si>
  <si>
    <t xml:space="preserve">Un soldado es enviado a la frontera entre Vietnam y Camboya para incorporarse a un pelotón que se encuentra allí destacado. Al poco de llegar, descubre la crueldad que supone esta guerra y no solo por los duros enfrentamientos con el enemigo sino por las relaciones entre los propios compañeros.
</t>
  </si>
  <si>
    <t xml:space="preserve">Lenny y Amanda son un matrimonio que llevan unos años tratando de tener un hijo, pero viendo que no son capaces deciden adoptar uno. Lenny, sorprendido por la inteligencia de su hijo, se propone encontrar a la madre del hijo. Cuando la encuentra se lleva la sorpresa de que es una prostituta de gran corazón.
</t>
  </si>
  <si>
    <t xml:space="preserve">Eran Williams, convicto de asesinato de un policía, espera en la cárcel el momento de su ejecución. Mientras, en la sala de prensa de la corte suprema, un grupo de periodistas espera la confirmación o el indulto de la pena de muerte. El cronista de sucesos del Chicago Examiner, Hildy Johnson, acaba de contraer matrimonio y parte de luna de miel ante la desesperación de Walter Burns, el mordaz director del periódico, que trata por todos los medios, que Hildy abandone a su esposa y acuda a la cárcel para cubrir la ejecución de Williams.
</t>
  </si>
  <si>
    <t xml:space="preserve">Después de jurarse amor eterno Westley y su amor se separan hasta que el primero consiga dinero para poder mantener a su futura esposa. 
Pasan los años y Westley no vuelve, es entonces cuando el príncipe Humperdink obliga a la princesa a casarse con él. Antes de la ceremonia 3 bándidos raptan a la príncesa, un desconocido pirata irá trás ellos.
</t>
  </si>
  <si>
    <t xml:space="preserve">Desde pequeño el príncipe Akeem a sido cuidado y mimado por cientos de sirvientes. El día de su boda decide que no quiere casarse con una mujer que ha sido educada para servirle y le pide a su padre unos días para salir al mundo exterior y buscar una mujer que le atraiga física e intelectualmente. Y que mejor sitio que Nueva York para buscar.
</t>
  </si>
  <si>
    <t xml:space="preserve">La historia de las hermanas Dashwood, la mayor Elinor juiciosa y responsable, la joven y pasional Marianne que ven cómo sus posibilidades de contraer matrimonio se reducen drásticamente a partir de la repentina ruina de su familia. Rickman, Grant y Greg Wise son los bien intencionados pretendientes, atrapados entre las encorsetadas reglas sociales y la realidad de sus deseos.
</t>
  </si>
  <si>
    <t xml:space="preserve">Un jugador de poker que pretende acudir al mayor campeonato de poker de todos los tiempos. Pero para poder inscribirse necesita tres mil dólares, por lo que durante su viaje hasta la ciudad del campeonato irá recaudando el dinero que le falta a base de partidas de poker y pequeños engaños.
</t>
  </si>
  <si>
    <t xml:space="preserve">Leonard Selby es un rico ejecutivo que vive con un único objetivo: encontrar a los asesinos de su esposa. Para ello ha de sobreponerse continuamente a una extraña forma de amnesia que le impide recordar lo que le ha ocurrido en los últimos 15 minutos, por lo que se valdrá de tatuajes, anotaciones y fotos para tratar de captar y grabar todo lo que va sucediendo en su larga y ardua búsqueda.
</t>
  </si>
  <si>
    <t xml:space="preserve">Una joven danesa sigue a su marido, que se ha establecido en Africa Central. Allí luchará durante largos años al frente de su enorme plantación; establecerá firmes lazos con las tribus que viven en la zona; soportará una guerra; protagonizará una hermosa historia de amor junto a un cazador aventurero y, sobre todo, se identificará de tal modo con aquella tierra y sus gentes, que siempre será recordada como la gran dama europea que supo comprenderlos hasta ganarse, por completo, su cariño y su respeto.
</t>
  </si>
  <si>
    <t xml:space="preserve">El agente especial Harry Tasker mantiene una doble vida. Harry habla seis idiomas, conoce y domina todas las formas de contraespionaje y trabaja como espía internacional para Omega Sexctor, una agencia gubernamental ultrasecreta encargada de la neutralización del terrorismo nuclear. Por razones de seguridad nacional, Harry oculta su verdadera profesión a su mujer Helen, con la que lleva casado quince años.
</t>
  </si>
  <si>
    <t xml:space="preserve">Veda Sultenfuss es unan niña obsesionada con la muerte. Su madre ha muerto y su padre dirige una funeraria. Además está enamorada de su profesor de inglés y se apunta a unos cursos de poesía en verano sólo para impresionarle. Thomas J., su mejor amigo, es alérgico a todo. Cuando el padre de Veda contrata a Shelly -una experta maquilladora- para su negocio, comienza a enamorarse de ella. Pero Vada se enfada e intentará hacer todo lo posible por torpedear la relación. 
</t>
  </si>
  <si>
    <t xml:space="preserve">Frank no cuida de su salud, especialmente desde la muerte de su esposa. Por eso, cuando ingiere un huevo duro recogido del suelo del zoológico donde trabaja, en su cuerpo comienza una dura batalla. Un glóbulo blanco que, ayudado por una tableta Drixorial, intentará detener a los virus invasores.
</t>
  </si>
  <si>
    <t xml:space="preserve">Los Caballeros de la Orden de Malta decidieron obsequiar en 1593 al Emperador Carlos V con la estatuilla de un halcón, realizada en oro macizo con incrustaciones de piedras preciosas, en agradecimiento a ciertas prerrogativas concedidas por el monarca. Sin embargo, esta maravillosa joya no llegó nunca a manos de Carlos V, ya que la galera en la que era trasportada fue asaltada por unos piratas. Cuatrocientos años después, el detective privado Sam Spade y su socio, Archer, aceptan el encargo de una muchacha que quiere averiguar dónde se encuentra su hermana, que ha desaparecido junto a Floyd Thursby, un hombre sin escrúpulos.
</t>
  </si>
  <si>
    <t xml:space="preserve">Loretta, una joven viuda italiana, decide contraer matrimonio con Johnny, otro solterón, al que ella maneja a su antojo. Él tiene que marcharse a Sicilia para visitar a su madre, que se encuentra muy enferma, y pide a su esposa que avise de la boda a su hermano Rionnie, que está enfadado con él.
</t>
  </si>
  <si>
    <t xml:space="preserve">En un pueblo costero de los Estados Unidos un grupo de amigos se ve envuelto en increíbles aventuras al descubrir el más pequeño de ellos un mapa del tesoro, en condiciones normales no lo hubieran hecho mucho caso, pero las hipótecas de las casas de los padres de todos los amigos son un severo peso que va a llevar a la desaparición de la urbanización donde los amigos pasan el tiempo juntos.
</t>
  </si>
  <si>
    <t xml:space="preserve">Dian Fossey llega a Africa para confeccionar un censo sobre gorilas de montaña en peligro de extinción. Acompañada de un nativo rastreador, comenzará su trabajo quedando fascinada por la vida de esos animales a los que se acerca y estudia con total impunidad. 
</t>
  </si>
  <si>
    <t xml:space="preserve">Un joven universitario que sufre el "acoso" de la mujer del profesor que le da clases. Entre su novia y la "obligación" de agradar a dicha mujer para conseguir buenos resultados universitarios su vida se tornará en un caos.
</t>
  </si>
  <si>
    <t xml:space="preserve">La película cuenta la obsesión de dos hombres por el buceo, obsesión que los persigue desde niños. Encuentran en el interior del mar una especie de plenitud, como si de su verdadero hábitat se tratara. Jacques Mayhol, incluso, complementa esa pasión con una gran atracción y comprensión hacia los delfines. 
</t>
  </si>
  <si>
    <t xml:space="preserve">Danny y Sandy han pasado un maravillos verano, pero éste se ha acabado y sus caminos se han separado, al regresar al instituto vuelven a encontrarse de manera sorpresiva, el problema es que la imagen de Danny no es la misma que en el verano.
</t>
  </si>
  <si>
    <t xml:space="preserve">Un patoso actor es contratado como extra en Hollywood, pero por accidente destroza el carísimo decorado de la película.
</t>
  </si>
  <si>
    <t xml:space="preserve">Chandler Jarrell es un detective especializado en buscar niños perdidos. Se le encomienda la misión de encontrar y proteger a un niño budista que posee poderes mágicos, que ha sido raptado según sus tutores por un maligno hechicero. Jarrell es escéptico respecto a la magia y a los poderes sobrenaturales, pero a medida que avanza en el caso, descubre evidencias suficientes para empezar a dudar.
</t>
  </si>
  <si>
    <t xml:space="preserve">Gittes, un ex-policía que trabaja como detective privado, recibe la visita de la esposa del jefe del Servicio de Aguas de Los Ángeles. Ella cree que su marido la engaña, hecho que pronto parecerá demostrar Gittes, pero cuando el escándalo salta a la prensa descubrirá que tras su petición de investigación hay en realidad otras intenciones.
</t>
  </si>
  <si>
    <t xml:space="preserve">Existe un proyecto científico en el cual un humano y su naven se reducen tanto que pueden viajar dentro del cuerpo humano, por dimes y diretes el encargado de introducirse dentro de un conejo (a modo de prueba) acaba entrando en el cuerpo de un humilde cajero.
</t>
  </si>
  <si>
    <t xml:space="preserve">El representante de una multinacional de refrescos en Berlín occidental sueña con introducir su marca en la URSS. Pero su jefe le encarga el cuidado de su hija, que llega de EE.UU. Se trata de una joven alocada, varias veces prometida, que eludirá la vigilancia y terminará enamorándose de un joven comunista.
</t>
  </si>
  <si>
    <t xml:space="preserve">Travis Bickle, veterano de Vietnam y hombre solitario e introvertido, padece insomio, lo que le permite conseguir un trabajo como taxista nocturno en Nueva York.Con el tiempo, llega a conocer todos los ambientes de la ciudad, desde las mansiones residenciales a los barrios más sórdidos. En una ocasión, se enamora de una muchacha llamada Betsy ante la mismísima oficina de un candidato a la presidencia. A partir de ese día siempre detiene su coche en el lugar indicado, con la esperanza de ver a su amada. 
</t>
  </si>
  <si>
    <t>la vaquilla</t>
  </si>
  <si>
    <t>zoolander</t>
  </si>
  <si>
    <t>acorralado</t>
  </si>
  <si>
    <t>a proposito de henry</t>
  </si>
  <si>
    <t>erase una vez en america</t>
  </si>
  <si>
    <t>the warriors</t>
  </si>
  <si>
    <t>el bueno, el feo y el malo</t>
  </si>
  <si>
    <t>vaya par de idiotas</t>
  </si>
  <si>
    <t>buscando a susan desesperadamente</t>
  </si>
  <si>
    <t>el chip prodigioso</t>
  </si>
  <si>
    <t>el ultimo boy scout</t>
  </si>
  <si>
    <t>bailando con lobos</t>
  </si>
  <si>
    <t>abyss</t>
  </si>
  <si>
    <t>amarcord</t>
  </si>
  <si>
    <t>el ultimo mohicano</t>
  </si>
  <si>
    <t>el cabo del miedo</t>
  </si>
  <si>
    <t>tiempos modernos</t>
  </si>
  <si>
    <t>taxi driver</t>
  </si>
  <si>
    <t>terminator</t>
  </si>
  <si>
    <t>el secreto de la piramide</t>
  </si>
  <si>
    <t>la tentacion vive arriba</t>
  </si>
  <si>
    <t>amanecer rojo</t>
  </si>
  <si>
    <t>amanece que no es poco</t>
  </si>
  <si>
    <t>vertigo</t>
  </si>
  <si>
    <t>abierto hasta el amanecer</t>
  </si>
  <si>
    <t>ciudad de dios</t>
  </si>
  <si>
    <t>solo en casa</t>
  </si>
  <si>
    <t>chinatown</t>
  </si>
  <si>
    <t>viaje de pirados</t>
  </si>
  <si>
    <t>sospechosos habituales</t>
  </si>
  <si>
    <t>el buscavidas</t>
  </si>
  <si>
    <t>desafio total</t>
  </si>
  <si>
    <t>desayuno con diamantes</t>
  </si>
  <si>
    <t>easy rider</t>
  </si>
  <si>
    <t>12 monos</t>
  </si>
  <si>
    <t>destino final</t>
  </si>
  <si>
    <t>la escopeta nacional</t>
  </si>
  <si>
    <t>estallido</t>
  </si>
  <si>
    <t>encuentros en la tercera fase</t>
  </si>
  <si>
    <t>dune</t>
  </si>
  <si>
    <t>viven</t>
  </si>
  <si>
    <t>alguien volo sobre el nido del cuco</t>
  </si>
  <si>
    <t>tomates verdes fritos</t>
  </si>
  <si>
    <t>dias de trueno</t>
  </si>
  <si>
    <t>cyrano de bergerac</t>
  </si>
  <si>
    <t>12 hombres sin piedad</t>
  </si>
  <si>
    <t>ben-hur</t>
  </si>
  <si>
    <t>las aventuras de Rabbi Jacob</t>
  </si>
  <si>
    <t>campo de sueños</t>
  </si>
  <si>
    <t>los bicivoladores</t>
  </si>
  <si>
    <t>la vida es bella</t>
  </si>
  <si>
    <t>bowfinger</t>
  </si>
  <si>
    <t>los bingueros</t>
  </si>
  <si>
    <t>rain man</t>
  </si>
  <si>
    <t>el chico de oro</t>
  </si>
  <si>
    <t>los siete magnificos</t>
  </si>
  <si>
    <t>rebeca</t>
  </si>
  <si>
    <t>aracnofobia</t>
  </si>
  <si>
    <t>todo en un dia</t>
  </si>
  <si>
    <t>perros de paja</t>
  </si>
  <si>
    <t>juego de lagrimas</t>
  </si>
  <si>
    <t>un pez llamado wanda</t>
  </si>
  <si>
    <t xml:space="preserve"> El más valiente y bravo espadachin de toda Francia, es el más timido de los hombres cuando se trata de amor. Siendo el mejor soldado y el mejor poeta, enamorado de la bella Roxana no se atreve a confesar su amor por vergüenza a ser rechazado por su voluminoso apendice nasal. Para librarse de su frustración y para demostrarse a si mismo que sería capaz de conquistar a su utópica amada, ayudará al joven Christian a enamorar a Roxana.
</t>
  </si>
  <si>
    <t xml:space="preserve">Una joven mujer casada con el propietario de un bar tejano y cansada de sus malos tratos mantiene una relación sentimental con uno de los empleados de su marido. Cuando éste descubre su infidelidad, contrata a un detective barato para que los asesine. Pero nada saldrá de acuerdo con los planes del marido engañado ni los del inescrupuloso detective.
</t>
  </si>
  <si>
    <t xml:space="preserve">Cuando una plaga de extraños y horribles asesinatos mantienen en suspenso a Londres, el joven Holmes y su nuevo amigo Watson se ven involucrados casi sin advertirlo en un oscuro misterio. ¡Evidentemente, algo se está tramando! Y el detective en ciernes se encuentra dispuesto a resolver el caso más sorprendente de su extraordinaria carrera.
</t>
  </si>
  <si>
    <t>la ley del silencio</t>
  </si>
  <si>
    <t>la lista de schindler</t>
  </si>
  <si>
    <t>lolita</t>
  </si>
  <si>
    <t>kramer contra kramer</t>
  </si>
  <si>
    <t>algunos hombres buenos</t>
  </si>
  <si>
    <t>pena de muerte</t>
  </si>
  <si>
    <t>semillas de rencor</t>
  </si>
  <si>
    <t>el show de truman</t>
  </si>
  <si>
    <t>el club de los poetas muertos</t>
  </si>
  <si>
    <t>jumanji</t>
  </si>
  <si>
    <t>el lago azul</t>
  </si>
  <si>
    <t>lady halcon</t>
  </si>
  <si>
    <t>la jauria humana</t>
  </si>
  <si>
    <t>misterioso asesinato en manhattan</t>
  </si>
  <si>
    <t>mira quien habla</t>
  </si>
  <si>
    <t>memento</t>
  </si>
  <si>
    <t>mary poppins</t>
  </si>
  <si>
    <t>No me chilles que no te veo</t>
  </si>
  <si>
    <t>golpe en la pequeña china</t>
  </si>
  <si>
    <t>the game</t>
  </si>
  <si>
    <t>el protegido</t>
  </si>
  <si>
    <t>el principe de zamunda</t>
  </si>
  <si>
    <t>philadelphia</t>
  </si>
  <si>
    <t>papillon</t>
  </si>
  <si>
    <t>los pajaros</t>
  </si>
  <si>
    <t>un domingo cualquiera</t>
  </si>
  <si>
    <t>carros de fuego</t>
  </si>
  <si>
    <t>dirty dancing</t>
  </si>
  <si>
    <t>el castañazo</t>
  </si>
  <si>
    <t>10 razones para odiarte</t>
  </si>
  <si>
    <t>beautiful girls</t>
  </si>
  <si>
    <t>los caballeros las prefieren rubias</t>
  </si>
  <si>
    <t>uno, dos, tres</t>
  </si>
  <si>
    <t>la semilla del diablo</t>
  </si>
  <si>
    <t>el violinista en el tejado</t>
  </si>
  <si>
    <t>sangre facil</t>
  </si>
  <si>
    <t>siete novias para siete hermanos</t>
  </si>
  <si>
    <t>desmadre a la americana</t>
  </si>
  <si>
    <t>los dioses deben de estar locos</t>
  </si>
  <si>
    <t>cotton club</t>
  </si>
  <si>
    <t>un cadaver a los postres</t>
  </si>
  <si>
    <t>calles de fuego</t>
  </si>
  <si>
    <t>a por todas</t>
  </si>
  <si>
    <t>cafe irlandes</t>
  </si>
  <si>
    <t>requiem por un sueño</t>
  </si>
  <si>
    <t>adivina quien viene esta noche</t>
  </si>
  <si>
    <t>mujercitas</t>
  </si>
  <si>
    <t>las virgenes suicidas</t>
  </si>
  <si>
    <t>primera plana</t>
  </si>
  <si>
    <t>la princesa prometida</t>
  </si>
  <si>
    <t>psicosis</t>
  </si>
  <si>
    <t>gigante</t>
  </si>
  <si>
    <t>oficial y caballero</t>
  </si>
  <si>
    <t>el guateque</t>
  </si>
  <si>
    <t>el hombre que sabia demasiado</t>
  </si>
  <si>
    <t>la huella</t>
  </si>
  <si>
    <t>el maquinista de la general</t>
  </si>
  <si>
    <t>my girl</t>
  </si>
  <si>
    <t>moulin rouge</t>
  </si>
  <si>
    <t>sentido y sensibilidad</t>
  </si>
  <si>
    <t>mentes peligrosas</t>
  </si>
  <si>
    <t>lo que queda del dia</t>
  </si>
  <si>
    <t>el dilema</t>
  </si>
  <si>
    <t>camino de perdicion</t>
  </si>
  <si>
    <t>kickboxer</t>
  </si>
  <si>
    <t>lunas de hiel</t>
  </si>
  <si>
    <t>love story</t>
  </si>
  <si>
    <t>la llave magica</t>
  </si>
  <si>
    <t>leyendas de pasion</t>
  </si>
  <si>
    <t>mujeres al borde de un ataque de nervios</t>
  </si>
  <si>
    <t>legend</t>
  </si>
  <si>
    <t>krull</t>
  </si>
  <si>
    <t>muerte entre las flores</t>
  </si>
  <si>
    <t>mientras dormias</t>
  </si>
  <si>
    <t>marnie la ladrona</t>
  </si>
  <si>
    <t>mad max</t>
  </si>
  <si>
    <t>el indomable will hunting</t>
  </si>
  <si>
    <t>nueve semanas y media</t>
  </si>
  <si>
    <t>grease</t>
  </si>
  <si>
    <t>el hombre tranquilo</t>
  </si>
  <si>
    <t>hero</t>
  </si>
  <si>
    <t>hechizo de luna</t>
  </si>
  <si>
    <t>el graduado</t>
  </si>
  <si>
    <t>gilda</t>
  </si>
  <si>
    <t>poderosa afrodita</t>
  </si>
  <si>
    <t>furia de titanes</t>
  </si>
  <si>
    <t>dos tontos muy tontos</t>
  </si>
  <si>
    <t>charada</t>
  </si>
  <si>
    <t>el cartero siempre llama dos veces</t>
  </si>
  <si>
    <t>cantando bajo la lluvia</t>
  </si>
  <si>
    <t xml:space="preserve">El océano guarda muchos secretos: ahora, uno de ellos intenta decirnos algo. En la propia Tierra hay lugares más insólitos que el espacio exterior. En las profundidades submarinas del mar Caribe, un submarino nuclear norteamericano escapa misteriosamente de control. Un equipo de especialistas de la Marina, junto con la tripulación de la estación de perforación petrolífera Deepcore, se sumergen para investigar lo ocurrido, y quedan atrapados al borde de una inmensa fosa, de donde sólo podrán ser rescatados de la manera más sorprendente... 
</t>
  </si>
  <si>
    <t xml:space="preserve">Cuando, sin ninguna razón aparente, un jefe de policía de un pequeño pueblo arresta a un autoestopista vagabundo, no puede ni siquiera imaginar que ha puesto en movimiento una serie catastrófica de acontecimientos. El vagabundo en cuestión es  Medalla de Honor del Congreso y héroe de la guerra de Vietnam. Respondiendo al hostigamiento de sus apresadores con una repentina ferocidad, se fuga audazmente de la cárcel y se lanza velozmente para alcanzar el cobijo de unas cercanas montañas.
</t>
  </si>
  <si>
    <t xml:space="preserve">Una familia liberal espera que su hija vuelva de un viaje donde ha conocido a su actual pareja, que es invitada a casa de la familia para conocerle. La sorpresa será mayúscula cuando vean que el novio es negro.
</t>
  </si>
  <si>
    <t xml:space="preserve">El teniente Frank Drebin debe impedir que la reina Isabel II sea asesinada durante su visita a Estados Unidos. Vincent Ludwig planea utilizar el control mental para que cualquiera sea el asesino.
</t>
  </si>
  <si>
    <t xml:space="preserve">Dos motoristas de pelo largo de Los Ángeles se embarcan en un viaje hacia Nueva Orleans cruzando el país por carretera, intentado descubrir América.
</t>
  </si>
  <si>
    <t xml:space="preserve">Unos aviones dados por desaparecidos en 1945 aparecen de repente en el desierto de Mojave. 
Un vuelo comercial se cruza con un objeto brillante que el piloto no es capaz de describir. 
El gobierton de EEUU, sospechando de la existencia de fenómenos extraños, logra averiguar dónde van a aterrizar los visitantes y desarrollar una operación de encubrimiento para que nadie se entere. Pero un grupo de personas comparte una visión sobre la vida en otros mundos que les arrastra a ese lugar.
</t>
  </si>
  <si>
    <t xml:space="preserve">David Aaron, Noodles, un pobre chaval judío, conoce en los suburbios de Manhattan de principio del siglo XX a Max, otro joven de origen hebreo dispuesto a llegar lejos por cualquier método. Entablan una gran amistad y forman, con otros colegas, una banda que prospera rápidamente. Llegando a convertirse, en tiempos de la prohibición, en unos importantes mafiosos. 
</t>
  </si>
  <si>
    <t xml:space="preserve">Jaime Canivell, empresario catalán, se apunta a una cacería en la finca del Marqués de Leguineche para intentar abrir su negocio de porteros automáticos contactando con la alta sociedad. En la finca se tropezará con personajes verdaderamente curiosos..... Desde el hijo del marqués, pajillero compulsivo hasta a un ministro con su amante sadomasoquista y actriz....Pasando por inumerables personajes mas de todo tipo. 
</t>
  </si>
  <si>
    <t xml:space="preserve">El ejército de los Estados Unidos arrasa un campamento en el Zaire en el que un virus mortal semejante al ébola estaba acabando con la población. Esta medida fue tomada tanto para mantener el virus en secreto como para que no se propagase, pero no contaban con que un pequeño mono, portador del peligroso virus, viajará en un barco desde el Zaire a EE.UU. 
</t>
  </si>
  <si>
    <t xml:space="preserve">Un ejecutivo que sólo se preocupa de si mismo se ve obligado a cuidar durante unos días de su hermano Raymond, un hermano que no conocia y que es discapacitado psiquico.
</t>
  </si>
  <si>
    <t xml:space="preserve">Un niño británico de clase alta vive en Shanghai en los momentos previos a la Segunda Guerra Mundial. Durante la invasión japonesa, el niño es separado violentamente de su familia y va a parar a un campo de concentración, donde va madurando y aprendiendo de la vida.
</t>
  </si>
  <si>
    <t xml:space="preserve">Un joven problemático con un pasado relacionado con maltratos, violencia y vida callejera. Un juez le obliga a asistir a clases con un profesor de matemáticas y un psicólogo. Descubren que es algo más que "un mal chico".
</t>
  </si>
  <si>
    <t xml:space="preserve">Johnny Boz, antiguo ídolo del rock y propietario de discoteca, aparece asesinado en su propia cama en San Francisco. El inspector de policía Nick Curran, se encargar del caso. La principal sospechosa es Catherine Tramell, una novelista atractiva y manipuladora que había salido con Boz recientemente. La siquiatra de la policía Beth Gardner, ex-novia de Nick, empieza a colaborar en la investigación cuando se descubre que el asesino se ha inspirado en una de las novelas de Catherine. 
</t>
  </si>
  <si>
    <t xml:space="preserve">Un honrado y honesto policía de Chicago intenta luchar contra la corrupción y la escalada de violencia que la banda del famoso Al Capone intenta imponer en la ciudad.
</t>
  </si>
  <si>
    <t xml:space="preserve">En el futuro cercano, la bandas callejeras son las que imponen su ley. La policía se ve incapaz de acabar con el problema. No obstante, uno de los pandilleros más carismáticos, el Jinete Nocturno, fallece mientras es perseguido por varios policias. El resto de la banda decide vengarle, para ello acosan a los agentes de la ley.
</t>
  </si>
  <si>
    <t xml:space="preserve">A T.S. le ha abandonado Brandi, su novia, y parece que su padre tiene algo que ver con ello, porque la necesita para el concurso de televisión que va a celebrarse en el Centro Comercial. A Brodie también le ha dejado la chica con la que salía y tiene que hacer algo para consolarle. Arrastra a T.S. hasta el Centro Comercial, un lugar en el que puedan suceder muchas cosas y no faltan las aventuras. Pero, sobre todo, intentarán sabotear el programa de televisión y así, tal vez, T.S. tenga alguna oportunidad.
</t>
  </si>
  <si>
    <t xml:space="preserve">El campeón de artes marciales en Estados Unidos queda inválido durante un combate en Bangkok cuando Tong Po, su contrincante, después de perder, le parte la médula espinal. Con el fin de vengar a su hermano, Kurt, decide aprender a pelear, y para ello acude a un anciano experto en este deporte. Éste se compromete a entrenarlo, si Kurt se aviene, además, a aprender filosofía zen y a descubrir los secretos de la paz espiritual.
</t>
  </si>
  <si>
    <t xml:space="preserve">Un ejecutivo de publicidad, abandonado por su mujer, queda a cargo del hijo común. A partir de entonces, éste tiene que conquistar el afecto del niño y hacer de padre y madre a la vez, logrando una relación que conmueve a la mujer hasta el punto de cederle finalmente la tutela. 
</t>
  </si>
  <si>
    <t xml:space="preserve">Un planeta es atacado por un monstruo y todo un ejército de alienígenas asesinos. Para hacerles frente, dos naciones enemigas deciden juntar sus fuerzas uniendo en matrimonio al príncipe Colwyn y a la princesa Lyssa, pero el día de la ceremonia el palacio es asaltado, la princesa secuestrada y Colwyn herido. Lo primero que debe hacer el príncipe es encontrar una espada voladora con poderes extraordinarios que le servirá para encontrar a la princesa y librar al planeta de la amenaza de la bestia.
</t>
  </si>
  <si>
    <t xml:space="preserve">Michael Sullivan es un asesino contratado por una banda irlandesa en la era de la Depresión en el medio oeste. Cuando su amada esposa y uno de sus hijos son asesinados O'Sullivan clama venganza.
</t>
  </si>
  <si>
    <t xml:space="preserve">El teniente Kaffe es un joven y prometedor abogado de la Marina que tiene una excelente reputación. Sus superiores le confían la defensa de dos marines acusados de asesinato durante una acción disciplinaria. 
</t>
  </si>
  <si>
    <t xml:space="preserve">Otoño de 1959. Comienza un nuevo año lectivo en la Academia Welton, una escuela aislada y tradicional situada en las tranquilas montañas de Vermont. Este año, siete estudiantes conocerán a un profesor cuyas ideas sobre la vida les inspirarán para emprender la búsqueda de sus pasiones individuales, para explorar nuevos horizontes y descubrir la agitación de un mundo más allá del estricto plan de estudios de Welton.
</t>
  </si>
  <si>
    <t xml:space="preserve">Narra la cadena de acontecimientos que un hombre desarrolló contra la industria tabaquera, y que arrastró a dos personas a luchar por sus vidas. 
</t>
  </si>
  <si>
    <t xml:space="preserve">la estrella de un programa de TV , desconoce que su ciudad es un gigantesco plató dirigido por un avispado productor, realizador y guionista; que la gente que vive y trabaja allí son actores de Hollywood; y que incluso su esposa es una actriz contratada.
</t>
  </si>
  <si>
    <t xml:space="preserve">Cuando el gobernador de Argos decide sacrificar a su hija y a su nieto Perseo, el dios Zeus (que es el padre del niño) decide salvarles y arrasar la ciudad. Perseo crece feliz en su nuevo hogar, hasta que la diosa Thetis, en venganza por como Zeus ha castigado a su hijo Calibos con una horrible deformidad, saca a Perseo de su hogar y le abandona a su suerte. Al conocer la noticia, Zeus ordena a otros dioses que ofrezcan algunos regalos mágicos a su hijo para protegerle: una prodigiosa espada, un casco que le hace invisible y un escudo que le proteja de cualquier daño. 
</t>
  </si>
  <si>
    <t xml:space="preserve">Melanie Daniels conoce a Mitch Brenner en una pajarería de San Francisco, mientras éste buscaba una pareja de periquitos para un regalo. Ella decide darle una sopresa llevándole a su ciudad natal en Bodega Bay la pareja de periquitos que buscaba. Cuando llega al lugar, los pájaros de la zona comienzan a atacar sin razón aparente a los habitantes del lugar...
</t>
  </si>
  <si>
    <t xml:space="preserve">Un hombre acusado de asesinato que es enviado a un penal de la Guayana francesa, en unión de otros condenados. En el viaje, a bordo de un barco y en condiciones infrahumanas, conoce a Luis Dega, falsificador de Bonos de la Defensa Nacional, hombre débil y miope, al que ofrece su protección a cambio de una suma de dinero que quiere emplear para huir de la cárcel. 
</t>
  </si>
  <si>
    <t xml:space="preserve">David Summer y su esposa trasladan su residencia a un pequeño pueblo británico, pronto la pareja se convierte en víctima de intimidaciones y abusos por parte de sus vecinos hasta que David estalla finalmente en una sangrienta lucha por su supervivencia.
</t>
  </si>
  <si>
    <t xml:space="preserve">Eddie Felson es un jugador profesional de billar que se dedica a recorrer las ciudades de provincias, junto a su compañero Charlie, haciendo creer a los demás jugadores que no es más que un aprendiz. Su propósito es reunir una importante cantidad de dinero para ir a Chicago y enfrentarse con el campeón, El gordo de Minnesota. Meses más tarde llega, por fin, su oportunidad. Al principio Eddie va ganando, pero Minnesota se recupera y bate a Eddie.
</t>
  </si>
  <si>
    <t xml:space="preserve">Joe Hallenbeck, antiguo miembro del Servicio Secreto, es un detective privado bastante atípico y con problemas familiares. Un día recibe el encargo de proteger a una bailarina de cabaret. Cuando ésta es asesinada y con la ayuda del novio de la muchacha, antigua figura del fútbol, seguirá la investigación. 
</t>
  </si>
  <si>
    <t xml:space="preserve">Hawkeye,  salva de una muerte segura a Cora Munro, hija de un coronel inglés, en una emboscada. Posteriormente se enamora de ella, pero eso será un problema para ambos.
</t>
  </si>
  <si>
    <t xml:space="preserve">Lorelei Lee y Dorothy Shaw son dos bailarinas dispuestas a triunfar sea como sea. Lorelei se promete a un millonario que, aunque rico, es algo celoso. La invita a que vaya a Paris a conocer a su padre, pero al acompañarla al barco y ver que iba a hacer el viaje con el equipo olímpico estadounidense, los celos aparecen. Además, a bordo irá un detective puesto por su padre, para saber que clase de mujer es su futura nuera.
</t>
  </si>
  <si>
    <t xml:space="preserve">Max Cady acaba de salir de la cárcel, tras pasar en ella catorce años, acusado de violar y apalear a una adolescente. En prisión ha estudiado leyes, y ha llegado a la conclusión de que el responsable directo de su condena fue su abogado.
</t>
  </si>
  <si>
    <t xml:space="preserve">Un millonario extravagante invita a los detectives más famosos del mundo a su mansión con el propósito de desafiarles a la resolución de un crimen que va a cometerse allí mismo. Los personajes parodian distintos mitos de la tradición policíaca.
</t>
  </si>
  <si>
    <t xml:space="preserve">la historia de una familia irlandesa y cómo cada uno de sus miembros reaccionan ante la noticia de que la hija mayor está embarazada. Evidentemente la hija ni está casada ni tiene novio formal, por lo que sus padres están intrigados por saber quién es el padre de la criatura que tiene que nacer. 
</t>
  </si>
  <si>
    <t xml:space="preserve">Ray Kinsella es un granjero de Iowa que pasa dificultades económicas, sin embargo el estar con su mujer y su hija en su propia granja supone una inmejorable ayuda emocional. 
Un día, mientras mira su campo oye las palabras "Si lo construyes, el vendrán"... 
</t>
  </si>
  <si>
    <t xml:space="preserve">Tom Cody, un ex-soldado duro y rebelde, regresa a su ciudad natal tras años de ausencia para rescatar a su antigua novia, la famosa cantante de rock Ellen Aim, secuestrada durante una actuación por los Bombers, una temible banda de 200 motoristas liderada por el peligroso Raven.
</t>
  </si>
  <si>
    <t xml:space="preserve">En 1327, tras un misterioso asesinato en una abadía benedectina, sus monjes comienzan a temer que se trate del apocalipsis. En la abadía estaba previsto que se celebrase un concilio de monjes franciscanos, por lo que estos últimos envían a William de Baskerville, tambien franciscano, para que investigue la extraña muerte. 
Pero mientras investiga se suceden nuevas muertes, con lo cual aparece la Santa Inquisición para hacer su propia investigación.
</t>
  </si>
  <si>
    <t xml:space="preserve">Billy vive en el norte de Inglaterra. Su vida la cambiará la Señora. Wilkinson, quien da clase de ballet en el gimnasio donde él intenta aprender a boxear. Pronto demuestra tener un talento innato para el ballet, gracias al cual alcanzará sus sueños y cambiará las vidas de los que le rodean.
</t>
  </si>
  <si>
    <t xml:space="preserve">Derek un top model famosisimo que fue 4 años el MEJOR TOP MODEL MASCULINO hasta que se ve arrebatado su puesto de número uno en el ranking de belleza masculina por Hansen. Desmoralizado por la pérdida de su categoría en el mundo de la moda, Derek terminará siendo atrapado por el diseñador Jacobim Mugatu en un complot que pretende asesinar al primer ministro de Malasia.
</t>
  </si>
  <si>
    <t xml:space="preserve">Situada en la ciudad de Manhattan,  gira en torno a la relación entre Elisabeth, una bella especuladora de obras de arte, y John, un millonario ejecutivo de Wall Street que se convierte en su amante. Tras un primer encuentro, John comienza un mortal juego de dominancia sexual que proporciona a Elisabeth un placer, un éxtasis -un dolor- hasta entonces desconocido... El curso de sus vidas se verá alterado para siempre. 
</t>
  </si>
  <si>
    <t xml:space="preserve">La familia McCallister se olvida de su hijo pequeño cuando se marchan a París de vacaciones de Navidad. El pequeño se hace cargo de la situación y debe defender la casa de un par de ladrones...
</t>
  </si>
  <si>
    <t xml:space="preserve">Un grupo de criminales de poca monta es encarcelado el mismo día en la misma cárcel, lo que parece una curiosidad produce que entre ellos tramen un plan para cuando salgan robar un furgón con dinero.
</t>
  </si>
  <si>
    <t xml:space="preserve">Es el año 2075 y Doug Quaid es un hombre con muchos problemas que se refugia en las imágenes del Planeta Rojo, Marte. Obsesionado decide viajar a él y descubre que su pasado y su presente tal y como él lo conoce, no son suyos. Con gran fuerza de voluntad destapa su memoria y logra recordar su verdadera identidad.
</t>
  </si>
  <si>
    <t xml:space="preserve">Un escritor neoyorkino, Paul Varjak, se siente atraído por su vecina, Holly Golightly, una preciosa joven, pero algo neurótica, que vive de los hombres y sueña con que uno de sus acompañantes le tome en serio. Holly piensa casarse con José da Silva, un millonario brasileño, pero su antigua relación con el gángster Sally Tomato le causará múltiples problemas.
</t>
  </si>
  <si>
    <r>
      <t>Destartalada y estrafalaria parodia de la vida universitaria de los años 60, la película nos muestra a Bluto, Nutria, Pinto y Rodaballo marcando, con su extravagante conducta, el rumbo de la definitiva comedia universitaria.</t>
    </r>
    <r>
      <rPr>
        <sz val="10"/>
        <rFont val="Arial"/>
        <family val="2"/>
      </rPr>
      <t xml:space="preserve">
</t>
    </r>
  </si>
  <si>
    <t xml:space="preserve">Un escritor sufre un grave accidente y recobra el conocimiento en una apartada casa en la que vive una misteriosa mujer, corpulenta y de extraño carácter. Se trata de una antigua enfermera, involucrada en varias muertes misteriosas ocurridas en diversos hospitales. Esta mujer es capaz de los mayores horrores, y el escritor, con las piernas rotas y entre terribles dolores, tiene que luchar por su vida. 
</t>
  </si>
  <si>
    <t xml:space="preserve">Un matrimonio neoyorquino, Carol y Larry son vecinos de un matrimonio mayor, con el que, después de mucho tiempo, Carol (Diane Keaton) decide intimar porque no conocen a nadie del bloque donde viven, y ella desea conocer a sus vecinos, a pesar de las reticencias de Larry (Woody Allen). Al poco tiempo, la mujer del matrimoniuo vecino es encontrada muerta mientras hacía footing en una de esas cintas fijas para correr. Larry piensa que es normal, pero Carol piensa que ha sido asesinada.
</t>
  </si>
  <si>
    <t xml:space="preserve">Un joven artista abandona su casa y se instala en el barrio de Montmartre. Allí conoce a Satin, una joven cortesana de quien se enamora y a quien convierte en su musa.
</t>
  </si>
  <si>
    <t xml:space="preserve">En una ciudad indeterminada en el año 1929, la rivalidad surge entre dos amigos: Leo, un gángster que gobierna el lugar, y Tom, su ayudante. Cuando los dos se enamoran de la misma mujer, se genera una guerra abierta entre bandas en la que predominan las traiciones, los enfrentamientos políticos y sobre todo la corrupción. 
</t>
  </si>
  <si>
    <t xml:space="preserve">Tras echar a su infiel novio de casa, Alison Jones, una dinámica ejecutiva de Nueva York, pone un anuncio en el periódico, buscando a alguien para compartir piso. Hedra Carlson, tímida y poco atractiva, pero muy inteligente, responde al anuncio. Pronto se crea una especial relación entre ambas, haciéndose inseparables. Sin embargo, Hedra comienza a tener una extraña dependencia de Alison. 
</t>
  </si>
  <si>
    <t xml:space="preserve">Cuatro jóvenes hermanas realizan un aprendizaje, a veces doloroso, a veces fascinante, de la vida y del amor. Van creciendo y abandonando, una a una, el hogar familiar para casarse y crear sus propias familias. 
Sólo se queda Jo, que quiere ser escritora. A pesar de la sensación que tiene de que ya ha terminado su tiempo de felicidad, sigue escribiendo y consigue publicar su primera obra. 
</t>
  </si>
  <si>
    <t>Pepa e Ivan son actores de doblaje y pareja... o eran pareja, ya que han roto. Pepa quiere que él le explique los motivos de la ruptura. Mientras, por su casa van pasando amigos (y desconocidos) cada uno con sus problemas, aunque al final, todos están relacionados de una manera u otra.</t>
  </si>
  <si>
    <t xml:space="preserve">Basado en un hecho real. Un avion con pasajeros uruguayos de un equipo de rugby se estrella en los andes, teniendo que sobrevivir a costa de comer carne de los muertos.....
</t>
  </si>
  <si>
    <t xml:space="preserve">La película se basa en la deliberación de un jurado sobre el caso en el que un joven es acusado de haber matado a su padre con una navaja. El veredicto del jurado ha de ser por unanimidad y en caso de que le declaren culpable será condenado a la silla eléctrica.
</t>
  </si>
  <si>
    <t xml:space="preserve">Un preso del futuro es enviado al pasado para recoger muestras de un virus que acabo con la mayoría de la humanidad. Sus diferentes viajes en el tiempo afectarán a los más variados personajes.
</t>
  </si>
  <si>
    <t xml:space="preserve">Un abogado afamado, es tiroteado en una tienda; debido a este hecho pierde la memoria. En un intento por recordar empieza a buscar datos sobre sí mismo y quién era antes del trágico accidente, esto hará que se dé cuenta que no era tan buena persona como debía ser y descubrirá algunos secretos que harán que se plantee muchos aspectos de su vida anterior y de la actual.
</t>
  </si>
  <si>
    <t>l.a. confidential</t>
  </si>
  <si>
    <t>american graffiti</t>
  </si>
  <si>
    <t>rio bravo</t>
  </si>
  <si>
    <t>fargo</t>
  </si>
  <si>
    <t>los chicos del barrio</t>
  </si>
  <si>
    <t xml:space="preserve">Cinco amigos llegan a Las Vegas dispuestos a celebrar la despedida de soltero de uno de ellos. Droga, alcohol y una prostituta de lujo que muere, accidentalmente, durante la juerga. En contra del sentido común y siguiendo las indicaciones del líder del grupo, deciden deshacerse del cadáver y no llamar a la policía.
</t>
  </si>
  <si>
    <t xml:space="preserve">La historia se desarrolla en la Italia anterior a la segunda guerra mundial, Guido, un joven judio de clase baja se enfrenta a las clases sociales para casarse con Dora, hija de una clase alta. 
Al empezar la segunda guerra mundial, Guido y su hijo judio es encarcelado por los nazis.
</t>
  </si>
  <si>
    <t xml:space="preserve">Hijas de un profesor de instituto y su estricta y religiosa mujer, las cinco hermanas Lisbon se transforman en sus años adolescentes en criaturas gloriosas e inaccesibles, trasportando a los chicos del vecindario a nuevas sensaciones de anhelo y deseo. Cuando la más joven se suicida, la fascinación de los chicos hacia las hermanas se agudiza y su encaprichamiento adolescente se intesifica.
</t>
  </si>
  <si>
    <t xml:space="preserve">Cuenta la vida de un lechero judio en Rusia y de su familia (su mujer y sus 5 hijas), a finales de la época zarista, justo antes de la revolución. Las hijas se van casando para alegría y pena del protagonista. 
</t>
  </si>
  <si>
    <t xml:space="preserve">Un conocido profesor de fonética, tras conocer a una descarada florista, apuesta con un amigo que es capaz de convertirla en una dama después de enseñarle a hablar y a comportarse correctamente.
</t>
  </si>
  <si>
    <t xml:space="preserve">Una azafata de vuelo traficante de dinero tratará de burlarse de su jefe, así como de la policía, para quedarse con una maleta que contiene medio millón de dóiares. 
</t>
  </si>
  <si>
    <t xml:space="preserve">Un hombre que ha escapado de un penal vuelve a su pueblo, donde es detenido por la policía. Unicamente el sheriff, un hombre íntegro, se opone al linchamiento que reclaman los habitantes.
</t>
  </si>
  <si>
    <t xml:space="preserve">La organización terrorista del IRA secuestra a un soldado británico. 
Durante el confinamiento, el prisionero antabla amistad con uno de los terroristas y pide que si finalmente lo matan, vaya a ver a su novia.
</t>
  </si>
  <si>
    <t xml:space="preserve">El joven Alan Parrish descubre un misterioso juego de mesa, pero no se da cuenta de sus increíbles poderes hasta que es transportado por arte de magia, ante los ojos de su amiga Sarah, hacia la jungla salvajei. 26 años después, es liberado del hechizo del juego por dos muchachos que no saben nada de la historia.
</t>
  </si>
  <si>
    <t xml:space="preserve">En la sede de la policía de Los Angeles, tres agentes se ven envueltos en una intriga criminal que destapa los trapos sucios del Departamento. Para recuperar el prestigio de que gozaba este cuerpo de seguridad, los tres mejores agentes se hacen cargo de la investigación del asesinato. 
</t>
  </si>
  <si>
    <t xml:space="preserve">Phillipe escapa con la ayuda de un misterioso caballero de las zarpas de los malvados hombres de Bishop, al acompañarle, Phillipe descubre que el halcón que siempre lleva consigo el caballero se transforma en mujer por las noches, cambiado de forma también éste en pantera. Todo ello forma parte de un maleficio que entre los 3 tendrán que romper.
</t>
  </si>
  <si>
    <t xml:space="preserve">Tras un naufragio, dos niños se ven obligados a crecer juntos y solos en una paradisiaca isla desierta. Al principio tratarán de sobrevivir mientras se divierten entre arena, cocos e inocencia, pero pronto los niños se hacen adolescentes... y los primeros síntomas hormonales aparecen. 
</t>
  </si>
  <si>
    <t xml:space="preserve">Un joven debe parar al Señor de la Oscuridad, que intenta crear la noche eterna destruyendo al último de los unicornios y casarse con una joven princesa.
</t>
  </si>
  <si>
    <t xml:space="preserve">La vida de los estibadores de los muelles neoyorquinos es controlada por un mafioso llamado Johnny Friendly. Terry Malloy, ex-luchador a sueldo, que trabaja para él, es testigo y autor indirecto de alguna de sus fechorías. Cuando conoce a Edie Doyle, hermana de una víctima de Friendly, Terry se arrepiente. Ella le presenta al padre Barrie, quien le anima para que acuda a los tribunales y cuente todo lo que sabe. El asesinato de Charlie, su propio hermano y abogado del mafioso, será decisivo.
</t>
  </si>
  <si>
    <t xml:space="preserve">A los 18 años Doug Master sabe pilotar un jet desde mucho antes que pilotar un automóvil. Siempre ha querido ser piloto, como su padre, pero la Academia de las Fuerzas Armadas no le ha dejado matricularse por sus malas notas. Ahora Doug está dispuesto a demostrar que es un temerario piloto de combate, y mucho más maduro de lo que parece. Y es que el muchacho se ha enterado que el avión de su padre ha sido derribado en le Medio Oriente.
</t>
  </si>
  <si>
    <t xml:space="preserve">Un joven que se va a casar pierde su anillo de compromiso en un alocada noche, con la ayuda de sus amigos intentará recuperarlo, no sin vivir la más extraña de las aventuras....
</t>
  </si>
  <si>
    <t xml:space="preserve">Ted sigue enamorado de su amor de instituto, una chica preciosa que tuvo que irse cuando iban a empezar sus relaciones, 10 años después contrata a un detective privado para que la encuentre.
</t>
  </si>
  <si>
    <t xml:space="preserve">Patrick decide evitar la cárcel pasándose por loco, una vez allí se relaciona con los pacientes de una manera que nunca hubiera pensado antes, se inicia una relación de compañerismo en la que la personalidad de Patrick es decisiva en la confrontación con los directores y enfermeras del clínico.
</t>
  </si>
  <si>
    <t xml:space="preserve">En este pueblecito todo puede ocurrir: gente que levita, uno que se quiere suicidar pero nunca muere, hombres plantados en el campo como zanahorias, un guardia civil siempre borracho...
</t>
  </si>
  <si>
    <t xml:space="preserve">Los Estados Unidos de Norteamérica han sido invadidos por fuerzas Soviéticas. La 3ª guerra mundial ha comenzado. En una pequeña ciudad del medio oeste americano un grupo de jóvenes consigue escapar y refugiarse en las montañas, desde donde comenzarán una guerra de guerrillas contra las fuerzas ocupantes.
</t>
  </si>
  <si>
    <t xml:space="preserve">Una joven contrae matrimonio con un aristócrata. Pero la vida no va a ser nada fácil en su nuevo hogar, Manderley, la gran mansión de su marido. El recuerdo de su primera esposa, fallecida en trágicas circunstancias, se interpone entre los recién casados. La arisca actitud de la siniestra y misteriosa ama de llaves de la caa será otro inconveniente con el que tendrá que enfrentarse.
</t>
  </si>
  <si>
    <t xml:space="preserve">Ellen, hermosa, fuerte y certera a la hora de disparar, cabalga hasta la ciudad sin ley de Redemption para conseguir la venganza que ha soñado desde niña. Nada más llegar es arrastrada a participar en un torneo a muerte organizado por Herod, el hombre que domina el pueblo y dicta las reglas. En este juego los pistoleros más temidos del oeste pondrán sus vidas en peligro para conseguir fama y dinero. De todos los concursantes, sólo uno saldrá con vida de Redemption. 
</t>
  </si>
  <si>
    <t xml:space="preserve">Tres hermanos huérfanos, junto con sus amigos, habitan una destartalada casa que les sirve de refugio y de lugar de reunión. Llevan el pelo engominado y siempre usan vaqueros, asumiendo con ironía el sobrenombre de "los grasientos". Uno de ellos, Ponyboy, un muchacho de catorce años, relata sus peleas con una banda rival. En una de estas escaramuzas, un chico del otro grupo muere. Ponyboy y su amigo Johnny, ayudados por Dallas, se ven obligados a escapar. El destino hace que pasen de marginados a héroes cuando, de regreso a la ciudad, salvan a un grupo de niños de un incendio en una pequeña escuela rural.
</t>
  </si>
  <si>
    <t xml:space="preserve">En una aldea del Congo, hacia 1915, el misionero Samuel y su hermana Rose ejercen su apostolado. Un domingo llega hasta el lugar Charlie, un médico aficionado a la bebida. Invitado por los religiosos a tomar el té, les cuenta que el mundo está en guerra y esa zona en poder de los alemanes. Samuel muere como consecuencia de una incursión del ejército alemán al poblado, su hermana Rose se ve obligada a ir con Charlie en su barcaza, y se ven envueltos en una misión imposible: hundir a un barco de guerra aleman.
</t>
  </si>
  <si>
    <t xml:space="preserve">A Johnnie le encanta su tren 'The General' y también Annabelle Lee. Cuando comienza la Guerra Civil, se le releva del servicio porque es más valioso como ingeniero. Su amada piensa que no va con el ejército porque es un cobarde. 
Los espías de la Unión capturan el tren con Annabelle a bordo y Johnnie debe rescatar a sus dos amores.
</t>
  </si>
  <si>
    <t xml:space="preserve">una compulsiva ladrona y embustera que se pone a trabajar para Mark Rutland y luego intenta robarle. Mark, impulsivamente, se casa con la desquiciada belleza e intenta descubrir las razones de su obsesivo comportamiento. Cuando un terrible accidente pone a Marnie en situación límite, Mark fuerza a su mujer a enfrentarse a sus terrores y su pasado, en una impactante e insoslayable conclusión.
</t>
  </si>
  <si>
    <t xml:space="preserve">Stevens, el perfecto mayordomo británico, un ideal que él lleva hasta el extremo al servicio de su señor, Lord Darlington. Darlington, como muchos otros miembros del establishmente británico en los años 30, es captado por los Nazis para intentar establecer una vida de comunicación con el gobierno británico.
</t>
  </si>
  <si>
    <t xml:space="preserve">Tres amigos intentan sobrevivir en un suburbio de la ciudad de Los Angeles, donde la amistad, el dolor y el peligro enmarcan un infierno callejero en el que lo más probable es acabar con un tiro en la cabeza. 
</t>
  </si>
  <si>
    <t xml:space="preserve">Una ex-marine que abandona su carrera militar por un sueño: convertirse en profesora de inglés. 
</t>
  </si>
  <si>
    <t xml:space="preserve">Inspirada en una historia real sobre la profunda relación surgida entre una monja y un condenado a muerte en una cárcel americana, esta película supone un provocador examen sobre el crimen y el castigo.
</t>
  </si>
  <si>
    <t xml:space="preserve">Jóvenes de diferentes países, razas y entorno social deben convivir al ingresar en la Universidad de Columbus. Cada uno trae sus propios problemas, pero además la vida en el campus parece añadir un problema más para todo el mundo: el racismo.
</t>
  </si>
  <si>
    <t xml:space="preserve">Torrance acaba de ser nombrada capitana del equipo de animadoras de su instituto. A partir de este momento su sueño se hace realidad, no obstante muchas trabas le obligarán a mantenerse fuerte en su nuevo puesto de capitana.
</t>
  </si>
  <si>
    <t xml:space="preserve">Narra la llegada a la mayoría de edad de cuatro adolescentes en su última noche de verano antes de empezar la universidad. Una vuelta a las carerras a gatas, a las fiestas salvajes y a los autocines, en esta nostálgica mirada atrás en los primeros años de la década de los 60.
</t>
  </si>
  <si>
    <t xml:space="preserve">Con motivo de una reunión de antiguos alumnos Willie Conway, un chico de 29 años, regresa a su hogar en la pequeña ciudad de Jnight’s Ridge. Allí va a pensar sobre su futuro, porque no sabe si abandonar su deseo de ser pianista o convertirse en representante de ventas, y de paso va a replantearse su relación con su novia Tracy y su juventud, que se le empieza a escapar de las manos.
</t>
  </si>
  <si>
    <t xml:space="preserve">Swan, Ajax, Cleon, Snow, Cochise, Cowboy, Rembrandt y Vermin eran los miembros de una pandilla de Coney Island. Con el fin de establecer un plan que les permita controlar la ciudad, todos los pandilleros organizados de Nueva York se reúnen en un estadio del Bronx. Durante su discurso, Cyrus, líder de los Riffs, la pandilla convocante a la cita, es asesinado de un disparo. Los Rogues, autores del crimen, señalan a la banda protagonista como responsable y allí comienzan los problemas.
</t>
  </si>
  <si>
    <t xml:space="preserve">Durante la ocupación romana de Jerusalem, Juda, un joven de noble familia judia es acusado de intear asesinar al gobernador y enviado a galeras como esclavo por quien creia su amigo Messala, un joven comadante romano. Desde ese momento Ben-Hur solo vivira para la venganza.
</t>
  </si>
  <si>
    <t xml:space="preserve">Tres jóvenes tienen el bicicross como afición. Un día, tras un accidente sus bicicletas quedan destrozadas. Para sacar dinero se les ocurre pescar almejas y encuentran un paquete que les traerá problemas.
</t>
  </si>
  <si>
    <t xml:space="preserve">El bingo ha llegado a España, y con el la fiebre del juego. Dos personajes  de vidas distintas pero con mismo sino, se conocen en la entrada de uno de los bingos. A partir de ahi, ambos idearan varias situaciones ludopáticas para ganar en el bingo y para pagar posteriormente sus deudas monetarias.
</t>
  </si>
  <si>
    <t xml:space="preserve">Un productor de películas que nunca a llegado a rodar ninguna. Esta vez cree tener en sus manos el guión de una película que debe de rodarse, así que intentará que la estrella de Hollywood Kit Ramsei participe. Pero cuando este no acepta participar decide rodar las escenas alrededor de la vida diaria de Kit Ramsei.
</t>
  </si>
  <si>
    <t xml:space="preserve">Tres hombres en busca de un mismo tesoro, un botín de oro del ejercito de la Unión. Cada uno de ellos conoce una parte del mapa por lo cual deben de permanecer juntos hasta encontrarlo, pero cada uno quiere todo para él.
</t>
  </si>
  <si>
    <t xml:space="preserve">La mayor afición de Roberta es leer los anuncios de contactos en los periódicos. En uno de ellos ve como alguien está intentando localizar a una tal Susan; entonces decide dejar a su triunfador marido para embarcarse en la aventura de buscar a la misteriosa chica.
</t>
  </si>
  <si>
    <t xml:space="preserve">En la antigua China, antes de que reinase el emperador, el Rey de Qin era el referente del imperio. 
Facciones de guerreros de 6 reinos planean matarle para ostentar su poder, pero un oficial menor de Qin derrota a los 3 enemigos enviados para asesinar al Rey, ante la sorpresa de tal acontencimiento, el Rey manda llamar al valeroso guerrero para que le cuente lo acontecido.
</t>
  </si>
  <si>
    <t xml:space="preserve">Lorenzo es un conductor de autobus que vive y trabaja en el Bronx, sacando adelante a su familia como puede, pero siempre de forma honrada. Su hijo Calogero, siente una especial atraccion por el mundo de la mafia y por el capo mafioso del barrio, Sonny, cosa que a su padre no le agrada demasiado. A medida que el chaval va creciendo su relaccion con Sonny se ira estrechando.
</t>
  </si>
  <si>
    <t xml:space="preserve">Ben y Jo MacKenna, una inocente pareja estadounidense pasa sus vacaciones en Marruecos junto con su hijo Hank. Tras la muerte de un espía en brazos de Ben cuando se encontraban visitando el mercado de Marrakech, el matrimonio descubre que su hijo ha sido secuestrado y trasladado a Inglaterra. Sin saber en quién confiar, los MacKenna se ven envueltos en una pesadilla de espionaje internacional, asesinatos y terror.
</t>
  </si>
  <si>
    <t xml:space="preserve">Al pueblo irlandés de Innisfree llega un forastero que resulta ser oriundo de la comunidad, hijo de una familia que emigró a los Estados Unidos. Huyendo de un pasado turbulento (era un boxeador profesional que en el transcurso de un combate lesionó accidentalmente a su contrincante, que falleció a causa de la pelea), el recién llegado adquiere la que fuera casa de sus mayores, granjeándose la enemistad del cacique local. Cuando se enamora de la hermana de su enemigo, empieza el camino que le llevará a enfrentarse con su realidad y a aceptar la cultura de sus ancestros. 
</t>
  </si>
  <si>
    <t xml:space="preserve">Andrew Wyke es considerado uno de los más notables escritores de novelas de misterio. Wyke también es un fanático jugador que ha convertido su magnífica mansión del siglo XVI en una galería llena de robots, muñecas vivientes, dianas para dardos, tableros de ajedrez y laberintos. Una tarde, Wyke invita a Milo Tindle, un ex-peluquero y actual propietario de una cadena de salones de belleza a tomar unos cócteles en su casa. Al principio Tindle disfruta de su visita, hasta el momento en que Wyke admite estar perfectamente al corriente de que Marguerite, su distanciada esposa, y Tindle, son amantes. Sin embargo, para gran sorpresa de Tindle, Wyke asegura estar encantado con la idea de deshacerse de su esposa, tanto, que de hecho ya ha preparado un plan del que ambos saldrán beneficiados... 
</t>
  </si>
  <si>
    <t xml:space="preserve">Dave es sordo y Wally ciego, y entre los dos presencían un asesinato que uno escucha y el otro ve a medias. Trás este comienzo se suceden situaciones desternillantes para el espectador, hasta lograr descubrir al asesino.
</t>
  </si>
  <si>
    <t xml:space="preserve">Zack Mayo es un joven asignado a la Escuela Naval Militar de los Estados Unidos. Allí encontrará que su actitud es incompatible con el lugar, algo que intentará corregir el implacable sargento Foley. Durante el proceso conocerá a una joven lugareña, Paula, de la que se enamorará, y que supondrá un punto de inflexión en su vida.
</t>
  </si>
  <si>
    <t xml:space="preserve">Finales de los 60 en un suburbio de Rio de Janeiro donde son desterrados los más pobres. Dos niños siguen caminos distintos, convergentes en algunos momentos a lo largo de los años. Mientras que Buscapé pone todo su empeño en llegar a convertirse en fotógrafo, Dadinho sueña con convertirse en el criminal más peligroso de Rio de Janeiro. 
</t>
  </si>
  <si>
    <t>Pelicula</t>
  </si>
  <si>
    <t>Resultado</t>
  </si>
  <si>
    <t>% Completado</t>
  </si>
  <si>
    <t>Frases QUIZ</t>
  </si>
  <si>
    <t>Sinopsis</t>
  </si>
  <si>
    <t xml:space="preserve">Las hermanas Stratford son muy distintas.La guapa y popular Bianca nunca ha salido con un chico y Kat, es algo arisca y se ha propuesto rechazar a cualquier chico que demuestre el más mínimo interés por ella. El estricto reglamento que rige el hogar de los Stratford prohibe a Bianca tener novio hasta que su insoportable hermana tenga uno...
</t>
  </si>
  <si>
    <t xml:space="preserve">Lucy trabaja como taquillera del metro de Chicago. Lleva una vida sencilla, y entre sus pequeñas alegrías está la visión diaria de un guapo viajero con el que nunca ha hablado, pero del que se ha enamorado. Un día, Lucy tiene la oportunidad de socorrerle cuando tiene un percance.
</t>
  </si>
  <si>
    <t xml:space="preserve">Paul es el celador del pasillo de la muerte, lugar en el que pasan los últimos días los condenados a muerte. 
Con la llegada de "Coffey" sucederán fenómenos extraños que cambiarán la vida de todos los funcionarios de esa parte de la cárcel.
</t>
  </si>
  <si>
    <t xml:space="preserve">Mallie se ha quedado embarazada de un hombre casado, por lo que decide encontrar el padre perfecto para su hijo. Pero Mikey, el pequeño bebé, tiene sus propias opiniones al respecto. Observando a las personas mayores desde el vientre materno, no se priva a la hora de realizar cualquier comentario sobre los posibles candidatos que conoce su madre. 
</t>
  </si>
  <si>
    <t xml:space="preserve">Cuando su familia se va de vacaciones en verano, Richard Sherman cree que pasará el verano tranquilamente, pero pronto llegará algo que revolucionará su rutinaria vida. Al piso de arriba llega a vivir una joven muy atractiva 
</t>
  </si>
  <si>
    <t xml:space="preserve">Un hombre y una maquina son enviados al pasado para proteger y asesinar respectivamente, a la madre del futuro lider de la resistencia contra Skynet, la IA que provocara la gran guerra del mundo.
</t>
  </si>
  <si>
    <t xml:space="preserve">Charlie, obrero en una gran industria, extenuado del frenético ritmo de trabajo, termina perdiendo la razón. Después de pasar un tiempo en una casa de cura sale y pronto es encarcelado por participar en una manifestación, en la cual se encontraba por casualidad. En la cárcel ayuda, sin pretenderlo, a controlar un motín, lo cual le significa la libertad. Una vez libre, reemprende la lucha por la supervivencia. Conoce entonces a una joven huérfana con la que comparte la vida. Cuando la joven ha encontrado trabajo para ella y para Charlie, la policía llega para llevársela de nuevo al orfanato donde debería encontrarse según la ley. Ambos huyen hacia lo desconocido.
</t>
  </si>
  <si>
    <t xml:space="preserve">Roy Munson era un extraordinario jugador de bolos, campeón estatal en 1979. Pero su suerte se vio truncada cuando se cruzó con Ernie McCracken gracias al cual perdió su mano derecha. 
</t>
  </si>
  <si>
    <t xml:space="preserve">Scottie Ferguson, inspector de policía, tras haber tenido una experiencia traumática persiguiendo a un delincuente por los tejados de San Francisco, descubre que sufre un irremediable temor a las alturas. A partir de entonces, tiene que dejar el Cuerpo de Policía. Un amigo de la infancia le encarga, ante el extraño comportamiento de su mujer, Madelaine, que la vigile.
</t>
  </si>
  <si>
    <t xml:space="preserve">Josh en un fallo sin procedentes manda el video de una aventura sexual a su novia que vive en otro estado de USA. Ahora tendrá que intentar llegar antes del correo para que su novia no vea ese excándaloso video.
</t>
  </si>
  <si>
    <t>rapida y mortal</t>
  </si>
  <si>
    <t>el apartamento</t>
  </si>
  <si>
    <t>billy elliot</t>
  </si>
  <si>
    <t>la reina de africa</t>
  </si>
  <si>
    <t>very bad things</t>
  </si>
  <si>
    <t>el señor de las bestias</t>
  </si>
  <si>
    <t>aguila de acero</t>
  </si>
  <si>
    <t>rebeldes</t>
  </si>
  <si>
    <t>agarralo como puedas</t>
  </si>
  <si>
    <t>el resplandor</t>
  </si>
  <si>
    <t>arizona baby</t>
  </si>
  <si>
    <t>flashdance</t>
  </si>
  <si>
    <t>fiebre del sabado noche</t>
  </si>
  <si>
    <t>aterriza como puedas</t>
  </si>
  <si>
    <t>la roca</t>
  </si>
  <si>
    <t>footloose</t>
  </si>
  <si>
    <t>airbag</t>
  </si>
  <si>
    <t>willow</t>
  </si>
  <si>
    <t>algo pasa con mary</t>
  </si>
  <si>
    <t>arma joven</t>
  </si>
  <si>
    <t>persiguiendo a amy</t>
  </si>
  <si>
    <t>platoon</t>
  </si>
  <si>
    <t>los goonies</t>
  </si>
  <si>
    <t>osmosis jones</t>
  </si>
  <si>
    <t>el golpe</t>
  </si>
  <si>
    <t>el halcon maltes</t>
  </si>
  <si>
    <t>el gran azul</t>
  </si>
  <si>
    <t>una historia del bronx</t>
  </si>
  <si>
    <t>gorilas en la niebla</t>
  </si>
  <si>
    <t>pulp fiction</t>
  </si>
  <si>
    <t>el nombre de la rosa</t>
  </si>
  <si>
    <t>el imperio del sol</t>
  </si>
  <si>
    <t>instinto basico</t>
  </si>
  <si>
    <t>los intocables de elliot ness</t>
  </si>
  <si>
    <t>mallrats</t>
  </si>
  <si>
    <t>maverick</t>
  </si>
  <si>
    <t>mentiras arriesgadas</t>
  </si>
  <si>
    <t>memorias de africa</t>
  </si>
  <si>
    <t>la milla verde</t>
  </si>
  <si>
    <t>misery</t>
  </si>
  <si>
    <t>mujer blanca soltera busca</t>
  </si>
  <si>
    <t>jackie brown</t>
  </si>
  <si>
    <t>my fair lady</t>
  </si>
  <si>
    <t xml:space="preserve">Rosemary y Guy son una pareja de recién casados que se mudan a un apartamento en el centro de Nueva York. Aunque el edificio no guarda buena fama, el joven matrimonio pronto se adapta a su nuevo hogar, y conocen a una pareja de ancianos vecinos suyos. Pese a las objeciones de Rosemary, Guy pasa cada vez más tiempo con sus nuevos amigos. Los acontecimientos se suceden, y tras el aparente suicidio de una joven vecina, que se había hecho amiga de Rosemary antes de morir, la protagonista queda embarazada, lo que le supondrá enormes cuidados por parte de sus nuevos vecinos.
</t>
  </si>
  <si>
    <t xml:space="preserve">Tras el nacimiento del nuevo hijo nonato del rey, Dar, es secuestrado por un sacerdote de la orden de Jun y abandonado a su suerte. El bebé es encontrado por una familia de campesinos que lo adoptan sin saber quién es realmente. Cuando el joven Dar está cerca de llegar a su edad adulta, contempla como toda su familia es asesinada por hordas de salvajes, y descubre en ese momento que tiene la facultad de comunicarse con cualquier clase de animal. 
Dar inicia el camino de su venganza para con los asesinos de su familia.
</t>
  </si>
  <si>
    <t xml:space="preserve">Dirigidos por un amenazante bandido con dientes de oro, un grupo de forajidos siembra el terror en un pequeño pueblo de granjeros mejicanos. Ante la desesperada necesidad de protegerse, los granjeros ofrecen sus últimas pertenencias a un grupo de pistoleros, que aceptan el trabajo no por dinero, sino por la oportunidad de volver a la acción.
</t>
  </si>
  <si>
    <t xml:space="preserve">En una de sus bajadas al pueblo, Adam, busca y consigue una mujer enamorándola con dulces palabras y preciosos sueños. 
Dichos sueños se convertirán en un infierno cuando la lleva a su casa donde todo está manga por hombro y donde sus hermanos son auténticos animales. 
Poco a poco, Milly irá convirtiendo a todos en hombrecitos de muy buen parecer. Pronto se acercarán las fiestas del pueblo y los hermanos querrán probar suerte en el juego del amor.
</t>
  </si>
  <si>
    <t xml:space="preserve">El coronel Ludlow se traslada al nuevo oeste para empezar una nueva vida lejos de la guerra junto con sus tres hijos, el tiempo avanzará y el menor de ellos se alistará contra la voluntad de su padre, al mismo tiempo éste conocerá una mujer que será espectadora de las desgracias por las que atravesará la familia.
</t>
  </si>
  <si>
    <t>Oskar , un hombre de enorme astucia y talento para las relaciones públicas, diseña un ambicioso plan para ganarse la simpatía de los nazis más poderosos. Alemania acaba de invadir Polonia y, gracias a sus influencias, consigue la propiedad de una fábrica de Cracovia. Allí emplea a cientos de operarios judíos, cuya explotación laboral le ayuda a prosperar rápidamente. Su gerente, también judío, es el verdadero director en la sombra, pues Schindler no tiene el menor conocimiento industrial.</t>
  </si>
  <si>
    <t xml:space="preserve">Omri es un niño de nueve años que el día de su cumpleaños recibe como regalo un pequeño armario viejo. Cuando por casualidad introduce una figura de plástico de un indio en el armario y lo cierra, al volver a abrirlo se encuentra que la figura ha cobrado vida. Entre ambos se creara un vinculo de amistad, y Omri aprenderá de su nuevo amigo a tomar difíciles decisiones sobre la vida.
</t>
  </si>
  <si>
    <t xml:space="preserve">El profesor Humbert Humbert se muda a la casa de una mujer. Allí será completamente seducido por la hija de ésta. 
</t>
  </si>
  <si>
    <t xml:space="preserve">Oliver Barrett IV proviene de una familia de clase alta y ahora emprende su camino en la Universidad. Allí conoce a Jennifer, una estudiante de música con la que pronto inicia una relación.  La familia de Oliver no quiere ni oir habla de esa relación ya que ella no tiene ni dinero, ni posesiones... ni futuro. Pero a ellos les da igual, y aunque ahora Oliver no cuenta con el respaldo económico de su familia, ambos son felices estando juntos; hasta que una terrible enfermedad se presenta para destruir dicha relación.
</t>
  </si>
  <si>
    <t xml:space="preserve">Durante una travesía en un trasatlántico una convencional pareja británica, formada por el aburrido Nagel y su esposa coinciden con Oscar, un americano parapléjico, y su atractiva e inquietante esposa Mimi. Pronto Nagel se ve atraído por la joven y al darse cuenta Oscar, éste insiste en contarle su historia con Mimi.
</t>
  </si>
  <si>
    <t xml:space="preserve">Un melancólico y divertido retrato de la Italia de entreguerras, controlada por el fascismo y la Iglesia. A través del adolescente Titta y su familia, el director recuerda y reinventa su vida en su ciudad natal en la primera mitad de los años treinta. La mujer objeto, el abogado ilustrado, la estanquera de pechos enormes, la prostituta demente... Todos ellos y sus vivencias escriben esta gran historia costumbrista, llena de toques surrealistas y esperpénticos.
</t>
  </si>
  <si>
    <t xml:space="preserve">Bud Baxter, empleado de una aseguradora de Manhattan, descubre una manera fácil para ascender en la empresa, prestar su piso a sus jefes para que vayan con sus amantes.
</t>
  </si>
  <si>
    <t xml:space="preserve">Un grupo de cientificos descubre una nueva especie de araña,accidentalmente es tranportada a un pueblo,la araña se reproduce y da lugar a millones de arañas asesinas dando lugar a muertes extrañas de picaduras venenosas.
</t>
  </si>
  <si>
    <t xml:space="preserve">El es un fuera de la ley con la irresistible necesidad de asaltar tiendas; ella, una ex-policía. se conocieron y se enamoraron cuando a él le estaban fichando en una comisaría. Ahora, esta peculiar pareja siente la necesidad de completar su familia con un bebé, pero se sienten frustrados cuando se enteran de que ella es estéril. Así que deciden raptar a un quintillizo, pensando que a los padres no les importará mucho al tener cuatro más. 
</t>
  </si>
  <si>
    <t xml:space="preserve">En una zona fronteriza con México, Tunstall contrata como ayudantes para su granja a jóvenes huidos o vagabundos, a quienes enseña y educa. Entre ellos hay uno con una gran puntería llamado William Bonney. Tunstall cuenta en el pueblo con competidores codiciosos que ponen trabas a sus negocios y matan por la espalda sin ningún temor a las consecuencias. Uno de ellos encargará matarle y los jóvenes intentan vengar su muerte.
</t>
  </si>
  <si>
    <t xml:space="preserve">El vuelo 209 de la Trans American sale de Los Ángeles con destino a Chicago. Entre el pasaje se encuentran una serie de curiosos personajes. El expiloto Ted Striker, tendrá la vida de todos en sus manos.
</t>
  </si>
  <si>
    <t xml:space="preserve">Victor Pivert se verá forzado a suplantar la personalidad de un conocido Rabino, mientras escapa de la persecución de un grupo de asesinos y de la policia.
</t>
  </si>
  <si>
    <t xml:space="preserve">Las desventuras de un grupo de soldados republicanos que decide emprender una misión suicida, adentrandose en las fiestas del pueblo vecino, que se encuentra bajo dominio "nacional". 
</t>
  </si>
  <si>
    <t xml:space="preserve">Un peq que un día se encuentra a una bebe humana, la profecía indica que ella es la futura reina y la que liberará a los pueblos de la malvada Bavmorda. Junto con Madmartigan, vivirá incontables aventuras en su misión de llevar a la tierra de los hombres a la preciada bebe.
</t>
  </si>
  <si>
    <t xml:space="preserve">Tras el fin de la guerra civil el teniente John G. Dunbar es destinado a un fuerte en los territorios del oeste. Al llegar al destino encontrará el fuerte abandonado, pero en vez de regresar continuará con las tareas militares lo que le llevará a entrar en contacto con los habitantes indigenas de la zona.
</t>
  </si>
  <si>
    <t xml:space="preserve">Dos hermanos delicuentes se dirigen hacia México para cerrar un trato, en el camino secuestran para pasar un control a un cura que ha perdido la fé y su familia. Pararán en un bar de carretera que no es lo que parece.
</t>
  </si>
  <si>
    <t xml:space="preserve">En Coney Island, Harry vende heroína y ya tiene una adicción por su mercancía. En una secuencia inicial la idea que tiene es robar la TV de su madre para empeñarla y conseguir efectivo, pero la TV está encadenada pues no es la primera vez que esto pasa... La madre, es una mujer solitaria y adicta a las pastillas para adelgazar, cuyo sueño es salir en un programa de TV. Un mundo de seres en conflicto consigo y con adicción y problemas, una visión del sueño incompleto. 
</t>
  </si>
  <si>
    <t xml:space="preserve">Un escritor obtiene un trabajo como guardián de un viejo hotel que queda vacío y aislado del mundo por la nieve durante varios meses al año. Se traslada junto a su mujer y su hijo y, casi inmediatamente, comenzará a sufrir un proceso de transformación de su personalidad que le llevará hacia la locura. Su hijo, que tiene poderes paranoramales, intuye que va a suceder una tragedia.
</t>
  </si>
  <si>
    <t xml:space="preserve">Un sheriff junto a un pequeño grupo de individuos desafia a un rico terrateniente que está empeñado en sacar a su hermano, un joven alocado que acaba de cometer un asesinato, de la cárcel donde el sheriff lo ha encerrado.
</t>
  </si>
  <si>
    <t xml:space="preserve">Un viejo preso de Alcatraz y un agente del FBI experto en guerra bacteriológica son enviados a la cárcel de Alcatraz para intentar detener un secuestro masivo por parte de unos militares americanos que reclaman dinero para las familiares de los caídos en las guerras.
</t>
  </si>
  <si>
    <t xml:space="preserve">Un hombre apocado y tímido, casado con la hija de un millonario que le mantiene totalmente alejado de su fortuna, decide contratar a dos delincuentes para que secuestren a su esposa y con el rescate montar su propio negocio. Pero en el transcurso del rapo, tres inocentes resultan brutalmente asesinados, siendo el comienzo de una serie de muertes sin sentido que tendrá que resolver la policía.
</t>
  </si>
  <si>
    <t xml:space="preserve">Durante la semana Tony es un simple vendedor en una tienda de pintura, pero cuando llega el sábado se convierte en el indiscutible rey de las pistas de baile.
</t>
  </si>
  <si>
    <t xml:space="preserve">Una joven huérfana sueña con llegar a ser bailarina. Para poder vivir trabaja en una fábrica de día y de noche en un club nocturno.
</t>
  </si>
  <si>
    <t xml:space="preserve">Cuenta la historia de un chico que llega a un pueblo en el que el fundamentalista Shaw Moore ha prohibido el baile. El joven, que además de rebelde es un entusiasta de la música, intentará por todos los medios acabar con esa prohibición, mientras se enamora de la hija de Moore.
</t>
  </si>
  <si>
    <t xml:space="preserve">Tras sobrevivir milagrosamente a un catastrófico accidente de tren, David Dunn conoce a Elijah Price, un hombre que parece conocer la causa de su invulnerabilidad. Elijah tiene una enfermedad degenerativa y tiene que utilizar una silla de ruedas; cree firmemente en un equilibrio universal, por el que los débiles tienen el apoyo de los fuertes. Una explicación que podría cambiar para siempre la vida de David y su familia.
</t>
  </si>
  <si>
    <t xml:space="preserve">Marion Crane, que trabaja como empleada en una inmobiliaria, recibe el encargo de su jefe de ingresar en el banco cuarenta mil dólares. Marion está pasando por apuros económicos, y traicionando la confianza que en ella ha depositado su jefe, se escapa con el dinero. 
En su huida le sorprende una tormenta, y se detiene a pasar la noche en un motel 
</t>
  </si>
  <si>
    <t xml:space="preserve">Vicent Vega y Jules Winnfield son un par de ’gorilas’ de los bajos fondos, que cumpliendo órdenes, están recuperando una misteriosa cartera negra de un grupo de ladrones aficionados. Por otra parte, su jefe le ha pedido a Vicent que haga de canguro de su mujer Mia, mientras él se va de viaje.
</t>
  </si>
  <si>
    <t xml:space="preserve">Nicholas Van Orton está acostumbrado a controlar absolutamente todas las facetas de su existencia. Sin embargo, su perfecta vida sufre un cambio cuando su hermano Conrad le hace un original regalo de cumpleaños que pronto tendrá consecuencias devastadoras. Se trata del acceso a una misteriosa forma de entretenimiento, sin reglas, en la que todo puede perderse. Cuando Van Orton se da cuenta de en qué consiste el juego, ha llegado demasiado lejos y ya es muy tarde para dar marcha atrás.
</t>
  </si>
  <si>
    <t xml:space="preserve">La acción se desarrolla en el inmenso rancho de Reata. Bick conoce a Leslie, una rica muchacha de Maryland con la que se casa. Pero poco después descubre el abismo que les separa. Además Leslie conoce a Jett, un joven granjero que tiene la suerte de descubrir petróleo en sus tierras. Desde su posición de millonario, Jett se enfrenta a Bick, el marido de la mujer a la que ama.
</t>
  </si>
  <si>
    <t xml:space="preserve">Johnny Farrel, un aventurero de los bajos fondos, recala en Buenos Aires, la capital argentina, donde pronto le saca de un apuro un hombre llamado Ballin Mundson, propietario de un lujoso casino. El recién llegado termina convirtiéndose con el tiempo en el individuo de confianza de su anfitrión. Cierto día, su superior le presenta a su esposa. El reacciona con perplejidad, ya que fue ella quien le convirtió en el ser cínico y amargado que es ahora.
</t>
  </si>
  <si>
    <t xml:space="preserve">Un timador de poca monta llevado por la venganza reúne a los mejores timadores para estafar al asesino de su mejor amigo.
</t>
  </si>
  <si>
    <t xml:space="preserve">Un camionero ve como una chica novia de un amigo es secuestrada. 
Nada más empezar a buscarla descubren que el secuestro ha sido obra de una banda del barrio chino, cuyo lider pretende realizar un hechizo maléfico.
</t>
  </si>
  <si>
    <t xml:space="preserve">La pareja de intérpretes Don Lockwood y Lina Lamont es el dúo romántico preferido por todos los cinéfilos del mundo. Sus películas y sus apariciones en público son seguidas por multitud de fans, deseosos de escuchar unas palabras de los ídolos. Cuando la Warner lance la película sonora "El cantor de Jazz" con gran éxito de audiencia, la compañía Monumental querrá también producir película habladas, aunque tienen un grave inconveniente, su gran estrella Lina Lamont tiene una voz estridente y horrible. 
</t>
  </si>
  <si>
    <t xml:space="preserve">La acción se sitúa en Gran Bretaña, en el año 1920, donde dos jóvenes corredores de diferentes clases sociales se entrenan con un mismo objetivo: competir en las Olimpiadas de París de 1924.
</t>
  </si>
  <si>
    <t xml:space="preserve">A un restaurante de una carretera secundaria llega un autoestopista. El dueño le atiende y le ofrece un trabajo, pero él lo rechaza. Sin embargo, cuando aparece la mujer del propietario del local, el autoestopista decide quedarse.
</t>
  </si>
  <si>
    <t xml:space="preserve">Los Jefes de Charleston son un equipo de Hockey sobre hielo de tercera categoría y los pocos aficionados que acuden a verles a su estadio parece reunirse allí con el único propósito de reírse de ellos durante los partidos. El delantero Ned Braden es tan caballeroso vestido de paisano como sobre el hielo y el portero Dennis Le Mieux es eficaz sólo cuando tiene que evitar que los tiros de los rivales le golpeen a él. Los demás son perdedores natos.
</t>
  </si>
  <si>
    <t xml:space="preserve">Charles Lampert, buscado por el gobierno de los Estados Unidos bajo la acusacion de haberse apoderado de un cuarto de millón de dólares en oro del fondo federal suma entregada a Charles y a cuatro compañeros de armas de éste, durante la guerra, para ayudar a la Resistencia francesa es asesinado cuando viajaba en tren en las proximidades de Burdeos.
</t>
  </si>
  <si>
    <t xml:space="preserve">Una clase de alumnos de instituto se dispone a salir de viaje en avión, pero uno de ellos tiene una visión del avión explotando nada mas despegar por lo que sufre un ataque de histeria y es desalojado del avión junto con una profesora y cuatro alumnos mas. Todos le toman por loco hasta que el avión explota y pasan a sospechar de el como responsable de la explosión. Pero antes de que tengan tiempo de saber que fue lo que paso comienzan a morir los cuatro supervivientes en estraños accidentes que Alex ve antes de que sucedan, por lo que emprende una carrera contra la Muerte intentando llegar antes que esta para salvar a sus amigos.
</t>
  </si>
  <si>
    <t xml:space="preserve">Cole Trickle es un joven temerario que busca en la emoción de pilotar un bólido la audacia que le hace perder todos los miedos. Trickle entra con buen pie en el mundo de las carreras, rodeado de un buen equipo y con la ayuda inestimable de Harry, un verdadero amigo que sabe estimular a la joven promesa hasta hacerle alcanzar la gloria. Gracias a los coches, Trickle averiguará también el sentido real de la amistad a través de la ayuda generosa de un rival y encontrará el amor de su vida en Claire. 
</t>
  </si>
  <si>
    <t xml:space="preserve">Un bosquimano encuentra por accidente una botella de Coca Cola, pensando que es un regalo de los Dioses lo lleva a su pueblo entusiasmado, pronto la usarán para casi todo. 
</t>
  </si>
  <si>
    <t xml:space="preserve">Una familia pasa las vacaciones de verano en un hotel donde se desarrollan diferentes actividades, la hija pequeña del matrimonio se enamora del profesor de baile en contra de los deseos de su padre.
</t>
  </si>
  <si>
    <t xml:space="preserve">Tony D’Amato, veterano entrenador de los Miami Sharks, debe luchar con el ego de sus jugadores y con las exigencias de Christina Pagniacci, que acaba de heredar el equipo y quiere dar un giro a la liga que ya se daba por perdida. La lesión de su estrella principal y las ambiciosas aspiraciones de dos de sus jóvenes promesas complican la lucha de poder y el cambio generacional dentro del equipo, donde en el fondo se debate dos filosofías distintas, la que apuesta por el deporte como negocio y la que sólo ve en él una forma de vida y de entretenimiento.
</t>
  </si>
  <si>
    <t xml:space="preserve">Dos individuos que viven de trabajos absurdos en un cuchirril, se ven envueltos en un viaje atraves de media america para devolverle una maleta a una chica. Cuando descubren que la maleta esta llena de dinero, deciden utilizar pequeñas partes, a devolver por supuesto, para hacer su busqueda mas fácil.
</t>
  </si>
  <si>
    <t xml:space="preserve">Arrakis es un planeta que produce una especie imprescindible para las razas que en el universo habitan, el control del planeta provocara disputas entre los Harkonnen y los Atreides. 
</t>
  </si>
  <si>
    <t xml:space="preserve">Chico guai, no le apetece ir a clase y se larga con su novia en el coche de un colega... Y con el colega! a pasar el mejor dia de su vida. Por supuesto, casi le pillan los padres, el director del colegio, etc. todo mezclado hasta llegar a un final impresionante.
</t>
  </si>
  <si>
    <t xml:space="preserve">Evelyn, una mujer de mediana edad que vive frustrada por su gordura y la incomprensión de su marido, conoce a Ninny, una anciana que vive en un asilo. Ésta le cuenta una historia ocurrida en su pueblo de Alabama. Es el relato de la gran amistad que unía a dos mujeres y el misterioso asesinato del marido de una de ellas.
</t>
  </si>
  <si>
    <t xml:space="preserve">A Dixie Dwyer, trompetista de jazz en busca del éxito en el Harlem de los años 20, le cambia la suerte cuando salva la vida al mafioso Dutch Schultz. A partir de aquí se introducirá en un mundo donde se mezclan gangsters, cabaret, dinero y poder. 
</t>
  </si>
</sst>
</file>

<file path=xl/styles.xml><?xml version="1.0" encoding="utf-8"?>
<styleSheet xmlns="http://schemas.openxmlformats.org/spreadsheetml/2006/main">
  <numFmts count="17">
    <numFmt numFmtId="5" formatCode="#,##0\ &quot;pta&quot;;\-#,##0\ &quot;pta&quot;"/>
    <numFmt numFmtId="6" formatCode="#,##0\ &quot;pta&quot;;[Red]\-#,##0\ &quot;pta&quot;"/>
    <numFmt numFmtId="7" formatCode="#,##0.00\ &quot;pta&quot;;\-#,##0.00\ &quot;pta&quot;"/>
    <numFmt numFmtId="8" formatCode="#,##0.00\ &quot;pta&quot;;[Red]\-#,##0.00\ &quot;pta&quot;"/>
    <numFmt numFmtId="42" formatCode="_-* #,##0\ &quot;pta&quot;_-;\-* #,##0\ &quot;pta&quot;_-;_-* &quot;-&quot;\ &quot;pta&quot;_-;_-@_-"/>
    <numFmt numFmtId="41" formatCode="_-* #,##0\ _p_t_a_-;\-* #,##0\ _p_t_a_-;_-* &quot;-&quot;\ _p_t_a_-;_-@_-"/>
    <numFmt numFmtId="44" formatCode="_-* #,##0.00\ &quot;pta&quot;_-;\-* #,##0.00\ &quot;pta&quot;_-;_-* &quot;-&quot;??\ &quot;pta&quot;_-;_-@_-"/>
    <numFmt numFmtId="43" formatCode="_-* #,##0.00\ _p_t_a_-;\-* #,##0.00\ _p_t_a_-;_-* &quot;-&quot;??\ _p_t_a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s>
  <fonts count="7">
    <font>
      <sz val="10"/>
      <name val="Arial"/>
      <family val="0"/>
    </font>
    <font>
      <u val="single"/>
      <sz val="10"/>
      <color indexed="12"/>
      <name val="Arial"/>
      <family val="0"/>
    </font>
    <font>
      <u val="single"/>
      <sz val="10"/>
      <color indexed="36"/>
      <name val="Arial"/>
      <family val="0"/>
    </font>
    <font>
      <b/>
      <sz val="16"/>
      <name val="Arial"/>
      <family val="2"/>
    </font>
    <font>
      <b/>
      <sz val="14"/>
      <name val="Arial"/>
      <family val="2"/>
    </font>
    <font>
      <b/>
      <sz val="14"/>
      <color indexed="48"/>
      <name val="Arial"/>
      <family val="2"/>
    </font>
    <font>
      <b/>
      <sz val="10"/>
      <name val="Arial"/>
      <family val="2"/>
    </font>
  </fonts>
  <fills count="4">
    <fill>
      <patternFill/>
    </fill>
    <fill>
      <patternFill patternType="gray125"/>
    </fill>
    <fill>
      <patternFill patternType="solid">
        <fgColor indexed="51"/>
        <bgColor indexed="64"/>
      </patternFill>
    </fill>
    <fill>
      <patternFill patternType="solid">
        <fgColor indexed="44"/>
        <bgColor indexed="64"/>
      </patternFill>
    </fill>
  </fills>
  <borders count="13">
    <border>
      <left/>
      <right/>
      <top/>
      <bottom/>
      <diagonal/>
    </border>
    <border>
      <left>
        <color indexed="63"/>
      </left>
      <right>
        <color indexed="63"/>
      </right>
      <top style="thin"/>
      <bottom>
        <color indexed="63"/>
      </bottom>
    </border>
    <border>
      <left style="thin"/>
      <right style="medium"/>
      <top style="thin"/>
      <bottom style="thin"/>
    </border>
    <border>
      <left style="thin"/>
      <right style="medium"/>
      <top>
        <color indexed="63"/>
      </top>
      <bottom>
        <color indexed="63"/>
      </bottom>
    </border>
    <border>
      <left style="thin"/>
      <right style="medium"/>
      <top>
        <color indexed="63"/>
      </top>
      <bottom style="thin"/>
    </border>
    <border>
      <left style="medium"/>
      <right style="medium"/>
      <top style="medium"/>
      <bottom>
        <color indexed="63"/>
      </bottom>
    </border>
    <border>
      <left style="thin"/>
      <right style="thin"/>
      <top style="thin"/>
      <bottom style="thin"/>
    </border>
    <border>
      <left style="thin"/>
      <right style="thin"/>
      <top>
        <color indexed="63"/>
      </top>
      <bottom style="thin"/>
    </border>
    <border>
      <left style="medium"/>
      <right style="thin"/>
      <top style="thin"/>
      <bottom style="thin"/>
    </border>
    <border>
      <left>
        <color indexed="63"/>
      </left>
      <right style="thin"/>
      <top>
        <color indexed="63"/>
      </top>
      <bottom style="thin"/>
    </border>
    <border>
      <left>
        <color indexed="63"/>
      </left>
      <right style="thin"/>
      <top style="thin"/>
      <bottom style="thin"/>
    </border>
    <border>
      <left>
        <color indexed="63"/>
      </left>
      <right>
        <color indexed="63"/>
      </right>
      <top style="medium"/>
      <bottom style="mediu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8">
    <xf numFmtId="0" fontId="0" fillId="0" borderId="0" xfId="0" applyAlignment="1">
      <alignment/>
    </xf>
    <xf numFmtId="0" fontId="0" fillId="0" borderId="0" xfId="0" applyAlignment="1" applyProtection="1">
      <alignment/>
      <protection hidden="1" locked="0"/>
    </xf>
    <xf numFmtId="0" fontId="0" fillId="0" borderId="0" xfId="0" applyAlignment="1">
      <alignment wrapText="1"/>
    </xf>
    <xf numFmtId="0" fontId="3" fillId="0" borderId="0" xfId="0" applyFont="1" applyAlignment="1">
      <alignment wrapText="1"/>
    </xf>
    <xf numFmtId="0" fontId="0" fillId="0" borderId="0" xfId="0" applyBorder="1" applyAlignment="1">
      <alignment wrapText="1"/>
    </xf>
    <xf numFmtId="0" fontId="0" fillId="0" borderId="0" xfId="0" applyBorder="1" applyAlignment="1">
      <alignment/>
    </xf>
    <xf numFmtId="0" fontId="0" fillId="0" borderId="0" xfId="0" applyBorder="1" applyAlignment="1" applyProtection="1">
      <alignment/>
      <protection hidden="1" locked="0"/>
    </xf>
    <xf numFmtId="0" fontId="6" fillId="0" borderId="0" xfId="0" applyFont="1" applyAlignment="1">
      <alignment/>
    </xf>
    <xf numFmtId="0" fontId="0" fillId="0" borderId="0" xfId="0" applyAlignment="1">
      <alignment vertical="top"/>
    </xf>
    <xf numFmtId="0" fontId="6" fillId="0" borderId="0" xfId="0" applyFont="1" applyBorder="1" applyAlignment="1">
      <alignment/>
    </xf>
    <xf numFmtId="1" fontId="5" fillId="2" borderId="1" xfId="0" applyNumberFormat="1" applyFont="1" applyFill="1" applyBorder="1" applyAlignment="1">
      <alignment wrapText="1"/>
    </xf>
    <xf numFmtId="0" fontId="0" fillId="0" borderId="2" xfId="0" applyBorder="1" applyAlignment="1">
      <alignment horizontal="center" vertical="center"/>
    </xf>
    <xf numFmtId="0" fontId="0" fillId="0" borderId="2" xfId="0" applyBorder="1" applyAlignment="1" applyProtection="1">
      <alignment horizontal="center" vertical="center"/>
      <protection/>
    </xf>
    <xf numFmtId="0" fontId="0" fillId="0" borderId="3" xfId="0" applyBorder="1" applyAlignment="1" applyProtection="1">
      <alignment horizontal="center" vertical="center"/>
      <protection/>
    </xf>
    <xf numFmtId="0" fontId="0" fillId="0" borderId="4" xfId="0" applyBorder="1" applyAlignment="1">
      <alignment horizontal="center" vertical="center"/>
    </xf>
    <xf numFmtId="0" fontId="0" fillId="0" borderId="5" xfId="0" applyBorder="1" applyAlignment="1">
      <alignment vertical="top"/>
    </xf>
    <xf numFmtId="0" fontId="6" fillId="0" borderId="6" xfId="0" applyFont="1" applyBorder="1" applyAlignment="1" applyProtection="1">
      <alignment horizontal="center" vertical="center"/>
      <protection locked="0"/>
    </xf>
    <xf numFmtId="0" fontId="6" fillId="0" borderId="6" xfId="0" applyFont="1" applyFill="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8" xfId="0" applyFont="1" applyBorder="1" applyAlignment="1">
      <alignment horizontal="center" vertical="top"/>
    </xf>
    <xf numFmtId="0" fontId="0" fillId="3" borderId="9" xfId="0" applyFill="1" applyBorder="1" applyAlignment="1">
      <alignment vertical="justify" wrapText="1"/>
    </xf>
    <xf numFmtId="0" fontId="0" fillId="3" borderId="10" xfId="0" applyFill="1" applyBorder="1" applyAlignment="1">
      <alignment vertical="justify" wrapText="1"/>
    </xf>
    <xf numFmtId="0" fontId="0" fillId="3" borderId="10" xfId="0" applyFill="1" applyBorder="1" applyAlignment="1">
      <alignment wrapText="1"/>
    </xf>
    <xf numFmtId="0" fontId="4" fillId="0" borderId="11" xfId="0" applyFont="1" applyBorder="1" applyAlignment="1">
      <alignment horizontal="center"/>
    </xf>
    <xf numFmtId="0" fontId="4" fillId="0" borderId="12" xfId="0" applyFont="1" applyBorder="1" applyAlignment="1">
      <alignment horizontal="center"/>
    </xf>
    <xf numFmtId="0" fontId="4" fillId="0" borderId="11" xfId="0" applyFont="1" applyBorder="1" applyAlignment="1">
      <alignment horizontal="center" wrapText="1"/>
    </xf>
    <xf numFmtId="172" fontId="5" fillId="2" borderId="0" xfId="0" applyNumberFormat="1" applyFont="1" applyFill="1" applyBorder="1" applyAlignment="1">
      <alignment wrapText="1"/>
    </xf>
    <xf numFmtId="12" fontId="6" fillId="0" borderId="6" xfId="0" applyNumberFormat="1" applyFont="1" applyFill="1" applyBorder="1" applyAlignment="1" applyProtection="1">
      <alignment horizontal="center" vertical="center"/>
      <protection locked="0"/>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2">
    <dxf>
      <font>
        <b/>
        <i val="0"/>
        <color rgb="FFFFFFCC"/>
      </font>
      <fill>
        <patternFill>
          <bgColor rgb="FFFF0000"/>
        </patternFill>
      </fill>
      <border/>
    </dxf>
    <dxf>
      <font>
        <b/>
        <i val="0"/>
        <color auto="1"/>
      </font>
      <fill>
        <patternFill>
          <bgColor rgb="FF00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dimension ref="B1:F204"/>
  <sheetViews>
    <sheetView showGridLines="0" tabSelected="1" workbookViewId="0" topLeftCell="A1">
      <pane xSplit="6" ySplit="4" topLeftCell="G5" activePane="bottomRight" state="frozen"/>
      <selection pane="topLeft" activeCell="A1" sqref="A1"/>
      <selection pane="topRight" activeCell="G1" sqref="G1"/>
      <selection pane="bottomLeft" activeCell="A5" sqref="A5"/>
      <selection pane="bottomRight" activeCell="D5" sqref="D5"/>
    </sheetView>
  </sheetViews>
  <sheetFormatPr defaultColWidth="11.421875" defaultRowHeight="12.75"/>
  <cols>
    <col min="1" max="1" width="4.57421875" style="0" customWidth="1"/>
    <col min="2" max="2" width="4.8515625" style="8" customWidth="1"/>
    <col min="3" max="3" width="58.140625" style="2" customWidth="1"/>
    <col min="4" max="4" width="40.00390625" style="7" customWidth="1"/>
    <col min="5" max="5" width="24.7109375" style="0" customWidth="1"/>
    <col min="6" max="6" width="9.140625" style="1" hidden="1" customWidth="1"/>
    <col min="7" max="16384" width="34.28125" style="0" customWidth="1"/>
  </cols>
  <sheetData>
    <row r="1" spans="3:5" ht="20.25">
      <c r="C1" s="3" t="s">
        <v>298</v>
      </c>
      <c r="D1" s="26">
        <f>(100/200)*(SUM(F5:F204))</f>
        <v>100</v>
      </c>
      <c r="E1" s="10" t="s">
        <v>297</v>
      </c>
    </row>
    <row r="2" spans="3:6" ht="12.75">
      <c r="C2" s="4"/>
      <c r="D2" s="9"/>
      <c r="E2" s="5"/>
      <c r="F2" s="6"/>
    </row>
    <row r="3" spans="3:6" ht="13.5" thickBot="1">
      <c r="C3" s="4"/>
      <c r="D3" s="9"/>
      <c r="E3" s="5"/>
      <c r="F3" s="6"/>
    </row>
    <row r="4" spans="2:6" ht="18.75" thickBot="1">
      <c r="B4" s="15"/>
      <c r="C4" s="25" t="s">
        <v>299</v>
      </c>
      <c r="D4" s="23" t="s">
        <v>295</v>
      </c>
      <c r="E4" s="24" t="s">
        <v>296</v>
      </c>
      <c r="F4" s="6"/>
    </row>
    <row r="5" spans="2:6" ht="72" customHeight="1">
      <c r="B5" s="19">
        <v>1</v>
      </c>
      <c r="C5" s="20" t="s">
        <v>300</v>
      </c>
      <c r="D5" s="18" t="s">
        <v>123</v>
      </c>
      <c r="E5" s="14" t="str">
        <f>IF(F5=0,"Incorrecto","Correcto")</f>
        <v>Correcto</v>
      </c>
      <c r="F5" s="6">
        <f>IF(UPPER(D5)="10 razones para odiarte",1,0)</f>
        <v>1</v>
      </c>
    </row>
    <row r="6" spans="2:6" ht="51">
      <c r="B6" s="19">
        <f>B5+1</f>
        <v>2</v>
      </c>
      <c r="C6" s="21" t="s">
        <v>370</v>
      </c>
      <c r="D6" s="16" t="s">
        <v>29</v>
      </c>
      <c r="E6" s="11" t="str">
        <f>IF(F6=0,"Incorrecto","Correcto")</f>
        <v>Correcto</v>
      </c>
      <c r="F6" s="6">
        <f>IF(UPPER(D6)="la vaquilla",1,0)</f>
        <v>1</v>
      </c>
    </row>
    <row r="7" spans="2:6" ht="102">
      <c r="B7" s="19">
        <f aca="true" t="shared" si="0" ref="B7:B70">B6+1</f>
        <v>3</v>
      </c>
      <c r="C7" s="21" t="s">
        <v>223</v>
      </c>
      <c r="D7" s="16" t="s">
        <v>30</v>
      </c>
      <c r="E7" s="11" t="str">
        <f>IF(F7=0,"Incorrecto","Correcto")</f>
        <v>Correcto</v>
      </c>
      <c r="F7" s="6">
        <f>IF(UPPER(D7)="zoolander",1,0)</f>
        <v>1</v>
      </c>
    </row>
    <row r="8" spans="2:6" ht="114.75">
      <c r="B8" s="19">
        <f t="shared" si="0"/>
        <v>4</v>
      </c>
      <c r="C8" s="21" t="s">
        <v>185</v>
      </c>
      <c r="D8" s="16" t="s">
        <v>31</v>
      </c>
      <c r="E8" s="11" t="str">
        <f>IF(F8=0,"Incorrecto","Correcto")</f>
        <v>Correcto</v>
      </c>
      <c r="F8" s="6">
        <f>IF(UPPER(D8)="acorralado",1,0)</f>
        <v>1</v>
      </c>
    </row>
    <row r="9" spans="2:6" ht="89.25">
      <c r="B9" s="19">
        <f t="shared" si="0"/>
        <v>5</v>
      </c>
      <c r="C9" s="21" t="s">
        <v>240</v>
      </c>
      <c r="D9" s="17" t="s">
        <v>32</v>
      </c>
      <c r="E9" s="11" t="str">
        <f aca="true" t="shared" si="1" ref="E9:E72">IF(F9=0,"Incorrecto","Correcto")</f>
        <v>Correcto</v>
      </c>
      <c r="F9" s="6">
        <f>IF(UPPER(D9)="a proposito de henry",1,0)</f>
        <v>1</v>
      </c>
    </row>
    <row r="10" spans="2:6" ht="114.75">
      <c r="B10" s="19">
        <f t="shared" si="0"/>
        <v>6</v>
      </c>
      <c r="C10" s="21" t="s">
        <v>280</v>
      </c>
      <c r="D10" s="17" t="s">
        <v>34</v>
      </c>
      <c r="E10" s="11" t="str">
        <f t="shared" si="1"/>
        <v>Correcto</v>
      </c>
      <c r="F10" s="6">
        <f>IF(UPPER(D10)="the warriors",1,0)</f>
        <v>1</v>
      </c>
    </row>
    <row r="11" spans="2:6" ht="89.25">
      <c r="B11" s="19">
        <f t="shared" si="0"/>
        <v>7</v>
      </c>
      <c r="C11" s="21" t="s">
        <v>279</v>
      </c>
      <c r="D11" s="17" t="s">
        <v>124</v>
      </c>
      <c r="E11" s="11" t="str">
        <f t="shared" si="1"/>
        <v>Correcto</v>
      </c>
      <c r="F11" s="6">
        <f>IF(UPPER(D11)="beautiful girls",1,0)</f>
        <v>1</v>
      </c>
    </row>
    <row r="12" spans="2:6" ht="63.75">
      <c r="B12" s="19">
        <f t="shared" si="0"/>
        <v>8</v>
      </c>
      <c r="C12" s="21" t="s">
        <v>285</v>
      </c>
      <c r="D12" s="17" t="s">
        <v>35</v>
      </c>
      <c r="E12" s="11" t="str">
        <f t="shared" si="1"/>
        <v>Correcto</v>
      </c>
      <c r="F12" s="6">
        <f>IF(UPPER(D12)="el bueno, el feo y el malo",1,0)</f>
        <v>1</v>
      </c>
    </row>
    <row r="13" spans="2:6" ht="51">
      <c r="B13" s="19">
        <f t="shared" si="0"/>
        <v>9</v>
      </c>
      <c r="C13" s="21" t="s">
        <v>307</v>
      </c>
      <c r="D13" s="17" t="s">
        <v>36</v>
      </c>
      <c r="E13" s="11" t="str">
        <f t="shared" si="1"/>
        <v>Correcto</v>
      </c>
      <c r="F13" s="6">
        <f>IF(UPPER(D13)="vaya par de idiotas",1,0)</f>
        <v>1</v>
      </c>
    </row>
    <row r="14" spans="2:6" ht="76.5">
      <c r="B14" s="19">
        <f t="shared" si="0"/>
        <v>10</v>
      </c>
      <c r="C14" s="21" t="s">
        <v>286</v>
      </c>
      <c r="D14" s="17" t="s">
        <v>37</v>
      </c>
      <c r="E14" s="11" t="str">
        <f t="shared" si="1"/>
        <v>Correcto</v>
      </c>
      <c r="F14" s="6">
        <f>IF(UPPER(D14)="buscando a susan desesperadamente",1,0)</f>
        <v>1</v>
      </c>
    </row>
    <row r="15" spans="2:6" ht="76.5">
      <c r="B15" s="19">
        <f t="shared" si="0"/>
        <v>11</v>
      </c>
      <c r="C15" s="21" t="s">
        <v>26</v>
      </c>
      <c r="D15" s="17" t="s">
        <v>38</v>
      </c>
      <c r="E15" s="11" t="str">
        <f t="shared" si="1"/>
        <v>Correcto</v>
      </c>
      <c r="F15" s="6">
        <f>IF(UPPER(D15)="el chip prodigioso",1,0)</f>
        <v>1</v>
      </c>
    </row>
    <row r="16" spans="2:6" ht="76.5">
      <c r="B16" s="19">
        <f t="shared" si="0"/>
        <v>12</v>
      </c>
      <c r="C16" s="21" t="s">
        <v>213</v>
      </c>
      <c r="D16" s="17" t="s">
        <v>39</v>
      </c>
      <c r="E16" s="11" t="str">
        <f t="shared" si="1"/>
        <v>Correcto</v>
      </c>
      <c r="F16" s="6">
        <f>IF(UPPER(D16)="el ultimo boy scout",1,0)</f>
        <v>1</v>
      </c>
    </row>
    <row r="17" spans="2:6" ht="76.5">
      <c r="B17" s="19">
        <f t="shared" si="0"/>
        <v>13</v>
      </c>
      <c r="C17" s="21" t="s">
        <v>372</v>
      </c>
      <c r="D17" s="17" t="s">
        <v>40</v>
      </c>
      <c r="E17" s="11" t="str">
        <f t="shared" si="1"/>
        <v>Correcto</v>
      </c>
      <c r="F17" s="6">
        <f>IF(UPPER(D17)="bailando con lobos",1,0)</f>
        <v>1</v>
      </c>
    </row>
    <row r="18" spans="2:6" ht="127.5">
      <c r="B18" s="19">
        <f t="shared" si="0"/>
        <v>14</v>
      </c>
      <c r="C18" s="21" t="s">
        <v>184</v>
      </c>
      <c r="D18" s="17" t="s">
        <v>41</v>
      </c>
      <c r="E18" s="11" t="str">
        <f t="shared" si="1"/>
        <v>Correcto</v>
      </c>
      <c r="F18" s="6">
        <f>IF(UPPER(D18)="abyss",1,0)</f>
        <v>1</v>
      </c>
    </row>
    <row r="19" spans="2:6" ht="114.75">
      <c r="B19" s="19">
        <f t="shared" si="0"/>
        <v>15</v>
      </c>
      <c r="C19" s="21" t="s">
        <v>363</v>
      </c>
      <c r="D19" s="27" t="s">
        <v>42</v>
      </c>
      <c r="E19" s="11" t="str">
        <f t="shared" si="1"/>
        <v>Correcto</v>
      </c>
      <c r="F19" s="6">
        <f>IF(UPPER(D19)="amarcord",1,0)</f>
        <v>1</v>
      </c>
    </row>
    <row r="20" spans="2:6" ht="102">
      <c r="B20" s="19">
        <f t="shared" si="0"/>
        <v>16</v>
      </c>
      <c r="C20" s="21" t="s">
        <v>215</v>
      </c>
      <c r="D20" s="17" t="s">
        <v>125</v>
      </c>
      <c r="E20" s="11" t="str">
        <f t="shared" si="1"/>
        <v>Correcto</v>
      </c>
      <c r="F20" s="6">
        <f>IF(UPPER(D20)="los caballeros las prefieren rubias",1,0)</f>
        <v>1</v>
      </c>
    </row>
    <row r="21" spans="2:6" ht="51">
      <c r="B21" s="19">
        <f t="shared" si="0"/>
        <v>17</v>
      </c>
      <c r="C21" s="21" t="s">
        <v>214</v>
      </c>
      <c r="D21" s="17" t="s">
        <v>43</v>
      </c>
      <c r="E21" s="11" t="str">
        <f t="shared" si="1"/>
        <v>Correcto</v>
      </c>
      <c r="F21" s="6">
        <f>IF(UPPER(D21)="el ultimo mohicano",1,0)</f>
        <v>1</v>
      </c>
    </row>
    <row r="22" spans="2:6" ht="63.75">
      <c r="B22" s="19">
        <f t="shared" si="0"/>
        <v>18</v>
      </c>
      <c r="C22" s="21" t="s">
        <v>216</v>
      </c>
      <c r="D22" s="17" t="s">
        <v>44</v>
      </c>
      <c r="E22" s="11" t="str">
        <f t="shared" si="1"/>
        <v>Correcto</v>
      </c>
      <c r="F22" s="6">
        <f>IF(UPPER(D22)="el cabo del miedo",1,0)</f>
        <v>1</v>
      </c>
    </row>
    <row r="23" spans="2:6" ht="76.5">
      <c r="B23" s="19">
        <f t="shared" si="0"/>
        <v>19</v>
      </c>
      <c r="C23" s="21" t="s">
        <v>27</v>
      </c>
      <c r="D23" s="17" t="s">
        <v>126</v>
      </c>
      <c r="E23" s="11" t="str">
        <f t="shared" si="1"/>
        <v>Correcto</v>
      </c>
      <c r="F23" s="6">
        <f>IF(UPPER(D23)="uno, dos, tres",1,0)</f>
        <v>1</v>
      </c>
    </row>
    <row r="24" spans="2:6" ht="140.25">
      <c r="B24" s="19">
        <f t="shared" si="0"/>
        <v>20</v>
      </c>
      <c r="C24" s="21" t="s">
        <v>353</v>
      </c>
      <c r="D24" s="17" t="s">
        <v>127</v>
      </c>
      <c r="E24" s="11" t="str">
        <f t="shared" si="1"/>
        <v>Correcto</v>
      </c>
      <c r="F24" s="6">
        <f>IF(UPPER(D24)="la semilla del diablo",1,0)</f>
        <v>1</v>
      </c>
    </row>
    <row r="25" spans="2:6" ht="153">
      <c r="B25" s="19">
        <f t="shared" si="0"/>
        <v>21</v>
      </c>
      <c r="C25" s="22" t="s">
        <v>306</v>
      </c>
      <c r="D25" s="17" t="s">
        <v>45</v>
      </c>
      <c r="E25" s="11" t="str">
        <f t="shared" si="1"/>
        <v>Correcto</v>
      </c>
      <c r="F25" s="6">
        <f>IF(UPPER(D25)="tiempos modernos",1,0)</f>
        <v>1</v>
      </c>
    </row>
    <row r="26" spans="2:6" ht="127.5">
      <c r="B26" s="19">
        <f t="shared" si="0"/>
        <v>22</v>
      </c>
      <c r="C26" s="21" t="s">
        <v>28</v>
      </c>
      <c r="D26" s="17" t="s">
        <v>46</v>
      </c>
      <c r="E26" s="11" t="str">
        <f t="shared" si="1"/>
        <v>Correcto</v>
      </c>
      <c r="F26" s="6">
        <f>IF(UPPER(D26)="taxi driver",1,0)</f>
        <v>1</v>
      </c>
    </row>
    <row r="27" spans="2:6" ht="63.75">
      <c r="B27" s="19">
        <f t="shared" si="0"/>
        <v>23</v>
      </c>
      <c r="C27" s="21" t="s">
        <v>249</v>
      </c>
      <c r="D27" s="17" t="s">
        <v>128</v>
      </c>
      <c r="E27" s="11" t="str">
        <f t="shared" si="1"/>
        <v>Correcto</v>
      </c>
      <c r="F27" s="6">
        <f>IF(UPPER(D27)="El Violinista en el Tejado",1,0)</f>
        <v>1</v>
      </c>
    </row>
    <row r="28" spans="2:6" ht="63.75">
      <c r="B28" s="19">
        <f t="shared" si="0"/>
        <v>24</v>
      </c>
      <c r="C28" s="21" t="s">
        <v>305</v>
      </c>
      <c r="D28" s="17" t="s">
        <v>47</v>
      </c>
      <c r="E28" s="11" t="str">
        <f t="shared" si="1"/>
        <v>Correcto</v>
      </c>
      <c r="F28" s="6">
        <f>IF(UPPER(D28)="terminator",1,0)</f>
        <v>1</v>
      </c>
    </row>
    <row r="29" spans="2:6" ht="89.25">
      <c r="B29" s="19">
        <f t="shared" si="0"/>
        <v>25</v>
      </c>
      <c r="C29" s="21" t="s">
        <v>92</v>
      </c>
      <c r="D29" s="17" t="s">
        <v>129</v>
      </c>
      <c r="E29" s="11" t="str">
        <f t="shared" si="1"/>
        <v>Correcto</v>
      </c>
      <c r="F29" s="6">
        <f>IF(UPPER(D29)="sangre facil",1,0)</f>
        <v>1</v>
      </c>
    </row>
    <row r="30" spans="2:6" ht="89.25">
      <c r="B30" s="19">
        <f t="shared" si="0"/>
        <v>26</v>
      </c>
      <c r="C30" s="21" t="s">
        <v>93</v>
      </c>
      <c r="D30" s="17" t="s">
        <v>48</v>
      </c>
      <c r="E30" s="11" t="str">
        <f t="shared" si="1"/>
        <v>Correcto</v>
      </c>
      <c r="F30" s="6">
        <f>IF(UPPER(D30)="el secreto de la piramide",1,0)</f>
        <v>1</v>
      </c>
    </row>
    <row r="31" spans="2:6" ht="63.75">
      <c r="B31" s="19">
        <f t="shared" si="0"/>
        <v>27</v>
      </c>
      <c r="C31" s="21" t="s">
        <v>304</v>
      </c>
      <c r="D31" s="17" t="s">
        <v>49</v>
      </c>
      <c r="E31" s="11" t="str">
        <f t="shared" si="1"/>
        <v>Correcto</v>
      </c>
      <c r="F31" s="6">
        <f>IF(UPPER(D31)="la tentacion vive arriba",1,0)</f>
        <v>1</v>
      </c>
    </row>
    <row r="32" spans="2:6" ht="76.5">
      <c r="B32" s="19">
        <f t="shared" si="0"/>
        <v>28</v>
      </c>
      <c r="C32" s="21" t="s">
        <v>265</v>
      </c>
      <c r="D32" s="17" t="s">
        <v>50</v>
      </c>
      <c r="E32" s="11" t="str">
        <f t="shared" si="1"/>
        <v>Correcto</v>
      </c>
      <c r="F32" s="6">
        <f>IF(UPPER(D32)="amanecer rojo",1,0)</f>
        <v>1</v>
      </c>
    </row>
    <row r="33" spans="2:6" ht="51">
      <c r="B33" s="19">
        <f t="shared" si="0"/>
        <v>29</v>
      </c>
      <c r="C33" s="21" t="s">
        <v>264</v>
      </c>
      <c r="D33" s="17" t="s">
        <v>51</v>
      </c>
      <c r="E33" s="11" t="str">
        <f t="shared" si="1"/>
        <v>Correcto</v>
      </c>
      <c r="F33" s="6">
        <f>IF(UPPER(D33)="amanece que no es poco",1,0)</f>
        <v>1</v>
      </c>
    </row>
    <row r="34" spans="2:6" ht="89.25">
      <c r="B34" s="19">
        <f t="shared" si="0"/>
        <v>30</v>
      </c>
      <c r="C34" s="21" t="s">
        <v>308</v>
      </c>
      <c r="D34" s="17" t="s">
        <v>52</v>
      </c>
      <c r="E34" s="11" t="str">
        <f t="shared" si="1"/>
        <v>Correcto</v>
      </c>
      <c r="F34" s="6">
        <f>IF(UPPER(D34)="vertigo",1,0)</f>
        <v>1</v>
      </c>
    </row>
    <row r="35" spans="2:6" ht="63.75">
      <c r="B35" s="19">
        <f t="shared" si="0"/>
        <v>31</v>
      </c>
      <c r="C35" s="21" t="s">
        <v>373</v>
      </c>
      <c r="D35" s="17" t="s">
        <v>53</v>
      </c>
      <c r="E35" s="11" t="str">
        <f t="shared" si="1"/>
        <v>Correcto</v>
      </c>
      <c r="F35" s="6">
        <f>IF(UPPER(D35)="abierto hasta el amanecer",1,0)</f>
        <v>1</v>
      </c>
    </row>
    <row r="36" spans="2:6" ht="89.25">
      <c r="B36" s="19">
        <f t="shared" si="0"/>
        <v>32</v>
      </c>
      <c r="C36" s="21" t="s">
        <v>294</v>
      </c>
      <c r="D36" s="17" t="s">
        <v>54</v>
      </c>
      <c r="E36" s="11" t="str">
        <f t="shared" si="1"/>
        <v>Correcto</v>
      </c>
      <c r="F36" s="6">
        <f>IF(UPPER(D36)="ciudad de dios",1,0)</f>
        <v>1</v>
      </c>
    </row>
    <row r="37" spans="2:6" ht="63.75">
      <c r="B37" s="19">
        <f t="shared" si="0"/>
        <v>33</v>
      </c>
      <c r="C37" s="21" t="s">
        <v>225</v>
      </c>
      <c r="D37" s="17" t="s">
        <v>55</v>
      </c>
      <c r="E37" s="11" t="str">
        <f t="shared" si="1"/>
        <v>Correcto</v>
      </c>
      <c r="F37" s="6">
        <f>IF(UPPER(D37)="solo en casa",1,0)</f>
        <v>1</v>
      </c>
    </row>
    <row r="38" spans="2:6" ht="114.75">
      <c r="B38" s="19">
        <f t="shared" si="0"/>
        <v>34</v>
      </c>
      <c r="C38" s="21" t="s">
        <v>356</v>
      </c>
      <c r="D38" s="17" t="s">
        <v>130</v>
      </c>
      <c r="E38" s="11" t="str">
        <f t="shared" si="1"/>
        <v>Correcto</v>
      </c>
      <c r="F38" s="6">
        <f>IF(UPPER(D38)="siete novias para siete hermanos",1,0)</f>
        <v>1</v>
      </c>
    </row>
    <row r="39" spans="2:6" ht="89.25">
      <c r="B39" s="19">
        <f t="shared" si="0"/>
        <v>35</v>
      </c>
      <c r="C39" s="21" t="s">
        <v>25</v>
      </c>
      <c r="D39" s="17" t="s">
        <v>56</v>
      </c>
      <c r="E39" s="11" t="str">
        <f t="shared" si="1"/>
        <v>Correcto</v>
      </c>
      <c r="F39" s="6">
        <f>IF(UPPER(D39)="chinatown",1,0)</f>
        <v>1</v>
      </c>
    </row>
    <row r="40" spans="2:6" ht="63.75">
      <c r="B40" s="19">
        <f t="shared" si="0"/>
        <v>36</v>
      </c>
      <c r="C40" s="21" t="s">
        <v>309</v>
      </c>
      <c r="D40" s="17" t="s">
        <v>57</v>
      </c>
      <c r="E40" s="11" t="str">
        <f t="shared" si="1"/>
        <v>Correcto</v>
      </c>
      <c r="F40" s="6">
        <f>IF(UPPER(D40)="viaje de pirados",1,0)</f>
        <v>1</v>
      </c>
    </row>
    <row r="41" spans="2:6" ht="63.75">
      <c r="B41" s="19">
        <f t="shared" si="0"/>
        <v>37</v>
      </c>
      <c r="C41" s="21" t="s">
        <v>226</v>
      </c>
      <c r="D41" s="17" t="s">
        <v>58</v>
      </c>
      <c r="E41" s="11" t="str">
        <f t="shared" si="1"/>
        <v>Correcto</v>
      </c>
      <c r="F41" s="6">
        <f>IF(UPPER(D41)="sospechosos habituales",1,0)</f>
        <v>1</v>
      </c>
    </row>
    <row r="42" spans="2:6" ht="114.75">
      <c r="B42" s="19">
        <f t="shared" si="0"/>
        <v>38</v>
      </c>
      <c r="C42" s="21" t="s">
        <v>212</v>
      </c>
      <c r="D42" s="17" t="s">
        <v>59</v>
      </c>
      <c r="E42" s="11" t="str">
        <f t="shared" si="1"/>
        <v>Correcto</v>
      </c>
      <c r="F42" s="6">
        <f>IF(UPPER(D42)="el buscavidas",1,0)</f>
        <v>1</v>
      </c>
    </row>
    <row r="43" spans="2:6" ht="81" customHeight="1">
      <c r="B43" s="19">
        <f t="shared" si="0"/>
        <v>39</v>
      </c>
      <c r="C43" s="21" t="s">
        <v>227</v>
      </c>
      <c r="D43" s="17" t="s">
        <v>60</v>
      </c>
      <c r="E43" s="11" t="str">
        <f t="shared" si="1"/>
        <v>Correcto</v>
      </c>
      <c r="F43" s="6">
        <f>IF(UPPER(D43)="desafio total",1,0)</f>
        <v>1</v>
      </c>
    </row>
    <row r="44" spans="2:6" ht="63.75">
      <c r="B44" s="19">
        <f t="shared" si="0"/>
        <v>40</v>
      </c>
      <c r="C44" s="21" t="s">
        <v>229</v>
      </c>
      <c r="D44" s="17" t="s">
        <v>131</v>
      </c>
      <c r="E44" s="11" t="str">
        <f t="shared" si="1"/>
        <v>Correcto</v>
      </c>
      <c r="F44" s="6">
        <f>IF(UPPER(D44)="desmadre a la americana",1,0)</f>
        <v>1</v>
      </c>
    </row>
    <row r="45" spans="2:6" ht="89.25">
      <c r="B45" s="19">
        <f t="shared" si="0"/>
        <v>41</v>
      </c>
      <c r="C45" s="21" t="s">
        <v>228</v>
      </c>
      <c r="D45" s="17" t="s">
        <v>61</v>
      </c>
      <c r="E45" s="11" t="str">
        <f t="shared" si="1"/>
        <v>Correcto</v>
      </c>
      <c r="F45" s="6">
        <f>IF(UPPER(D45)="desayuno con diamantes",1,0)</f>
        <v>1</v>
      </c>
    </row>
    <row r="46" spans="2:6" ht="51">
      <c r="B46" s="19">
        <f t="shared" si="0"/>
        <v>42</v>
      </c>
      <c r="C46" s="21" t="s">
        <v>188</v>
      </c>
      <c r="D46" s="17" t="s">
        <v>62</v>
      </c>
      <c r="E46" s="11" t="str">
        <f t="shared" si="1"/>
        <v>Correcto</v>
      </c>
      <c r="F46" s="6">
        <f>IF(UPPER(D46)="easy rider",1,0)</f>
        <v>1</v>
      </c>
    </row>
    <row r="47" spans="2:6" ht="140.25">
      <c r="B47" s="19">
        <f t="shared" si="0"/>
        <v>43</v>
      </c>
      <c r="C47" s="21" t="s">
        <v>395</v>
      </c>
      <c r="D47" s="17" t="s">
        <v>64</v>
      </c>
      <c r="E47" s="11" t="str">
        <f t="shared" si="1"/>
        <v>Correcto</v>
      </c>
      <c r="F47" s="6">
        <f>IF(UPPER(D47)="destino final",1,0)</f>
        <v>1</v>
      </c>
    </row>
    <row r="48" spans="2:6" ht="51">
      <c r="B48" s="19">
        <f t="shared" si="0"/>
        <v>44</v>
      </c>
      <c r="C48" s="21" t="s">
        <v>239</v>
      </c>
      <c r="D48" s="17" t="s">
        <v>63</v>
      </c>
      <c r="E48" s="11" t="str">
        <f t="shared" si="1"/>
        <v>Correcto</v>
      </c>
      <c r="F48" s="6">
        <f>IF(UPPER(D48)="12 monos",1,0)</f>
        <v>1</v>
      </c>
    </row>
    <row r="49" spans="2:6" ht="51">
      <c r="B49" s="19">
        <f t="shared" si="0"/>
        <v>45</v>
      </c>
      <c r="C49" s="21" t="s">
        <v>397</v>
      </c>
      <c r="D49" s="17" t="s">
        <v>132</v>
      </c>
      <c r="E49" s="11" t="str">
        <f t="shared" si="1"/>
        <v>Correcto</v>
      </c>
      <c r="F49" s="6">
        <f>IF(UPPER(D49)="los dioses deben de estar locos",1,0)</f>
        <v>1</v>
      </c>
    </row>
    <row r="50" spans="2:6" ht="102">
      <c r="B50" s="19">
        <f t="shared" si="0"/>
        <v>46</v>
      </c>
      <c r="C50" s="21" t="s">
        <v>191</v>
      </c>
      <c r="D50" s="17" t="s">
        <v>65</v>
      </c>
      <c r="E50" s="11" t="str">
        <f t="shared" si="1"/>
        <v>Correcto</v>
      </c>
      <c r="F50" s="6">
        <f>IF(UPPER(D50)="la escopeta nacional",1,0)</f>
        <v>1</v>
      </c>
    </row>
    <row r="51" spans="2:6" ht="89.25">
      <c r="B51" s="19">
        <f t="shared" si="0"/>
        <v>47</v>
      </c>
      <c r="C51" s="21" t="s">
        <v>192</v>
      </c>
      <c r="D51" s="17" t="s">
        <v>66</v>
      </c>
      <c r="E51" s="11" t="str">
        <f t="shared" si="1"/>
        <v>Correcto</v>
      </c>
      <c r="F51" s="6">
        <f>IF(UPPER(D51)="estallido",1,0)</f>
        <v>1</v>
      </c>
    </row>
    <row r="52" spans="2:6" ht="127.5">
      <c r="B52" s="19">
        <f t="shared" si="0"/>
        <v>48</v>
      </c>
      <c r="C52" s="21" t="s">
        <v>189</v>
      </c>
      <c r="D52" s="17" t="s">
        <v>67</v>
      </c>
      <c r="E52" s="11" t="str">
        <f t="shared" si="1"/>
        <v>Correcto</v>
      </c>
      <c r="F52" s="6">
        <f>IF(UPPER(D52)="encuentros en la tercera fase",1,0)</f>
        <v>1</v>
      </c>
    </row>
    <row r="53" spans="2:6" ht="51">
      <c r="B53" s="19">
        <f t="shared" si="0"/>
        <v>49</v>
      </c>
      <c r="C53" s="21" t="s">
        <v>401</v>
      </c>
      <c r="D53" s="17" t="s">
        <v>68</v>
      </c>
      <c r="E53" s="11" t="str">
        <f t="shared" si="1"/>
        <v>Correcto</v>
      </c>
      <c r="F53" s="6">
        <f>IF(UPPER(D53)="dune",1,0)</f>
        <v>1</v>
      </c>
    </row>
    <row r="54" spans="2:6" ht="51">
      <c r="B54" s="19">
        <f t="shared" si="0"/>
        <v>50</v>
      </c>
      <c r="C54" s="21" t="s">
        <v>237</v>
      </c>
      <c r="D54" s="17" t="s">
        <v>69</v>
      </c>
      <c r="E54" s="11" t="str">
        <f t="shared" si="1"/>
        <v>Correcto</v>
      </c>
      <c r="F54" s="6">
        <f>IF(UPPER(D54)="viven",1,0)</f>
        <v>1</v>
      </c>
    </row>
    <row r="55" spans="2:6" ht="76.5">
      <c r="B55" s="19">
        <f t="shared" si="0"/>
        <v>51</v>
      </c>
      <c r="C55" s="21" t="s">
        <v>263</v>
      </c>
      <c r="D55" s="17" t="s">
        <v>70</v>
      </c>
      <c r="E55" s="11" t="str">
        <f t="shared" si="1"/>
        <v>Correcto</v>
      </c>
      <c r="F55" s="6">
        <f>IF(UPPER(D55)="alguien volo sobre el nido del cuco",1,0)</f>
        <v>1</v>
      </c>
    </row>
    <row r="56" spans="2:6" ht="76.5">
      <c r="B56" s="19">
        <f t="shared" si="0"/>
        <v>52</v>
      </c>
      <c r="C56" s="21" t="s">
        <v>403</v>
      </c>
      <c r="D56" s="17" t="s">
        <v>71</v>
      </c>
      <c r="E56" s="11" t="str">
        <f t="shared" si="1"/>
        <v>Correcto</v>
      </c>
      <c r="F56" s="6">
        <f>IF(UPPER(D56)="tomates verdes fritos",1,0)</f>
        <v>1</v>
      </c>
    </row>
    <row r="57" spans="2:6" ht="63.75">
      <c r="B57" s="19">
        <f t="shared" si="0"/>
        <v>53</v>
      </c>
      <c r="C57" s="21" t="s">
        <v>404</v>
      </c>
      <c r="D57" s="17" t="s">
        <v>133</v>
      </c>
      <c r="E57" s="11" t="str">
        <f t="shared" si="1"/>
        <v>Correcto</v>
      </c>
      <c r="F57" s="6">
        <f>IF(UPPER(D57)="cotton club",1,0)</f>
        <v>1</v>
      </c>
    </row>
    <row r="58" spans="2:6" ht="114.75">
      <c r="B58" s="19">
        <f t="shared" si="0"/>
        <v>54</v>
      </c>
      <c r="C58" s="21" t="s">
        <v>396</v>
      </c>
      <c r="D58" s="17" t="s">
        <v>72</v>
      </c>
      <c r="E58" s="11" t="str">
        <f t="shared" si="1"/>
        <v>Correcto</v>
      </c>
      <c r="F58" s="6">
        <f>IF(UPPER(D58)="dias de trueno",1,0)</f>
        <v>1</v>
      </c>
    </row>
    <row r="59" spans="2:6" ht="102">
      <c r="B59" s="19">
        <f t="shared" si="0"/>
        <v>55</v>
      </c>
      <c r="C59" s="21" t="s">
        <v>91</v>
      </c>
      <c r="D59" s="17" t="s">
        <v>73</v>
      </c>
      <c r="E59" s="11" t="str">
        <f t="shared" si="1"/>
        <v>Correcto</v>
      </c>
      <c r="F59" s="6">
        <f>IF(UPPER(D59)="Cyrano de Bergerac",1,0)</f>
        <v>1</v>
      </c>
    </row>
    <row r="60" spans="2:6" ht="63.75">
      <c r="B60" s="19">
        <f t="shared" si="0"/>
        <v>56</v>
      </c>
      <c r="C60" s="21" t="s">
        <v>402</v>
      </c>
      <c r="D60" s="17" t="s">
        <v>87</v>
      </c>
      <c r="E60" s="11" t="str">
        <f t="shared" si="1"/>
        <v>Correcto</v>
      </c>
      <c r="F60" s="6">
        <f>IF(UPPER(D60)="todo en un dia",1,0)</f>
        <v>1</v>
      </c>
    </row>
    <row r="61" spans="2:6" ht="63.75">
      <c r="B61" s="19">
        <f t="shared" si="0"/>
        <v>57</v>
      </c>
      <c r="C61" s="22" t="s">
        <v>217</v>
      </c>
      <c r="D61" s="17" t="s">
        <v>134</v>
      </c>
      <c r="E61" s="11" t="str">
        <f t="shared" si="1"/>
        <v>Correcto</v>
      </c>
      <c r="F61" s="6">
        <f>IF(UPPER(D61)="un cadaver a los postres",1,0)</f>
        <v>1</v>
      </c>
    </row>
    <row r="62" spans="2:6" ht="76.5">
      <c r="B62" s="19">
        <f t="shared" si="0"/>
        <v>58</v>
      </c>
      <c r="C62" s="22" t="s">
        <v>220</v>
      </c>
      <c r="D62" s="17" t="s">
        <v>135</v>
      </c>
      <c r="E62" s="11" t="str">
        <f t="shared" si="1"/>
        <v>Correcto</v>
      </c>
      <c r="F62" s="6">
        <f>IF(UPPER(D62)="calles de fuego",1,0)</f>
        <v>1</v>
      </c>
    </row>
    <row r="63" spans="2:6" ht="63.75">
      <c r="B63" s="19">
        <f t="shared" si="0"/>
        <v>59</v>
      </c>
      <c r="C63" s="22" t="s">
        <v>238</v>
      </c>
      <c r="D63" s="17" t="s">
        <v>74</v>
      </c>
      <c r="E63" s="11" t="str">
        <f t="shared" si="1"/>
        <v>Correcto</v>
      </c>
      <c r="F63" s="6">
        <f>IF(UPPER(D63)="12 hombres sin piedad",1,0)</f>
        <v>1</v>
      </c>
    </row>
    <row r="64" spans="2:6" ht="63.75">
      <c r="B64" s="19">
        <f t="shared" si="0"/>
        <v>60</v>
      </c>
      <c r="C64" s="22" t="s">
        <v>277</v>
      </c>
      <c r="D64" s="17" t="s">
        <v>136</v>
      </c>
      <c r="E64" s="11" t="str">
        <f t="shared" si="1"/>
        <v>Correcto</v>
      </c>
      <c r="F64" s="6">
        <f>IF(UPPER(D64)="a por todas",1,0)</f>
        <v>1</v>
      </c>
    </row>
    <row r="65" spans="2:6" ht="76.5">
      <c r="B65" s="19">
        <f t="shared" si="0"/>
        <v>61</v>
      </c>
      <c r="C65" s="22" t="s">
        <v>281</v>
      </c>
      <c r="D65" s="17" t="s">
        <v>75</v>
      </c>
      <c r="E65" s="11" t="str">
        <f t="shared" si="1"/>
        <v>Correcto</v>
      </c>
      <c r="F65" s="6">
        <f>IF(UPPER(D65)="ben-hur",1,0)</f>
        <v>1</v>
      </c>
    </row>
    <row r="66" spans="2:6" ht="51">
      <c r="B66" s="19">
        <f t="shared" si="0"/>
        <v>62</v>
      </c>
      <c r="C66" s="22" t="s">
        <v>369</v>
      </c>
      <c r="D66" s="17" t="s">
        <v>76</v>
      </c>
      <c r="E66" s="11" t="str">
        <f t="shared" si="1"/>
        <v>Correcto</v>
      </c>
      <c r="F66" s="6">
        <f>IF(UPPER(D66)="Las Aventuras de Rabbi Jacob",1,0)</f>
        <v>1</v>
      </c>
    </row>
    <row r="67" spans="2:6" ht="63.75">
      <c r="B67" s="19">
        <f t="shared" si="0"/>
        <v>63</v>
      </c>
      <c r="C67" s="22" t="s">
        <v>282</v>
      </c>
      <c r="D67" s="17" t="s">
        <v>78</v>
      </c>
      <c r="E67" s="11" t="str">
        <f t="shared" si="1"/>
        <v>Correcto</v>
      </c>
      <c r="F67" s="6">
        <f>IF(UPPER(D67)="los bicivoladores",1,0)</f>
        <v>1</v>
      </c>
    </row>
    <row r="68" spans="2:6" ht="76.5">
      <c r="B68" s="19">
        <f t="shared" si="0"/>
        <v>64</v>
      </c>
      <c r="C68" s="22" t="s">
        <v>219</v>
      </c>
      <c r="D68" s="17" t="s">
        <v>77</v>
      </c>
      <c r="E68" s="11" t="str">
        <f t="shared" si="1"/>
        <v>Correcto</v>
      </c>
      <c r="F68" s="6">
        <f>IF(UPPER(D68)="campo de sueños",1,0)</f>
        <v>1</v>
      </c>
    </row>
    <row r="69" spans="2:6" ht="76.5">
      <c r="B69" s="19">
        <f t="shared" si="0"/>
        <v>65</v>
      </c>
      <c r="C69" s="22" t="s">
        <v>218</v>
      </c>
      <c r="D69" s="17" t="s">
        <v>137</v>
      </c>
      <c r="E69" s="12" t="str">
        <f t="shared" si="1"/>
        <v>Correcto</v>
      </c>
      <c r="F69" s="6">
        <f>IF(UPPER(D69)="cafe irlandes",1,0)</f>
        <v>1</v>
      </c>
    </row>
    <row r="70" spans="2:6" ht="89.25">
      <c r="B70" s="19">
        <f t="shared" si="0"/>
        <v>66</v>
      </c>
      <c r="C70" s="22" t="s">
        <v>190</v>
      </c>
      <c r="D70" s="17" t="s">
        <v>33</v>
      </c>
      <c r="E70" s="13" t="str">
        <f t="shared" si="1"/>
        <v>Correcto</v>
      </c>
      <c r="F70" s="6">
        <f>IF(UPPER(D70)="erase una vez en america",1,0)</f>
        <v>1</v>
      </c>
    </row>
    <row r="71" spans="2:6" ht="76.5">
      <c r="B71" s="19">
        <f aca="true" t="shared" si="2" ref="B71:B104">B70+1</f>
        <v>67</v>
      </c>
      <c r="C71" s="22" t="s">
        <v>247</v>
      </c>
      <c r="D71" s="17" t="s">
        <v>79</v>
      </c>
      <c r="E71" s="12" t="str">
        <f t="shared" si="1"/>
        <v>Correcto</v>
      </c>
      <c r="F71" s="6">
        <f>IF(UPPER(D71)="la vida es bella",1,0)</f>
        <v>1</v>
      </c>
    </row>
    <row r="72" spans="2:6" ht="76.5">
      <c r="B72" s="19">
        <f t="shared" si="2"/>
        <v>68</v>
      </c>
      <c r="C72" s="22" t="s">
        <v>284</v>
      </c>
      <c r="D72" s="17" t="s">
        <v>80</v>
      </c>
      <c r="E72" s="12" t="str">
        <f t="shared" si="1"/>
        <v>Correcto</v>
      </c>
      <c r="F72" s="6">
        <f>IF(UPPER(D72)="bowfinger",1,0)</f>
        <v>1</v>
      </c>
    </row>
    <row r="73" spans="2:6" ht="89.25">
      <c r="B73" s="19">
        <f t="shared" si="2"/>
        <v>69</v>
      </c>
      <c r="C73" s="22" t="s">
        <v>355</v>
      </c>
      <c r="D73" s="17" t="s">
        <v>84</v>
      </c>
      <c r="E73" s="12" t="str">
        <f aca="true" t="shared" si="3" ref="E73:E104">IF(F73=0,"Incorrecto","Correcto")</f>
        <v>Correcto</v>
      </c>
      <c r="F73" s="6">
        <f>IF(UPPER(D73)="los siete magnificos",1,0)</f>
        <v>1</v>
      </c>
    </row>
    <row r="74" spans="2:6" ht="76.5">
      <c r="B74" s="19">
        <f t="shared" si="2"/>
        <v>70</v>
      </c>
      <c r="C74" s="22" t="s">
        <v>283</v>
      </c>
      <c r="D74" s="17" t="s">
        <v>81</v>
      </c>
      <c r="E74" s="12" t="str">
        <f t="shared" si="3"/>
        <v>Correcto</v>
      </c>
      <c r="F74" s="6">
        <f>IF(UPPER(D74)="los bingueros",1,0)</f>
        <v>1</v>
      </c>
    </row>
    <row r="75" spans="2:6" ht="51">
      <c r="B75" s="19">
        <f t="shared" si="2"/>
        <v>71</v>
      </c>
      <c r="C75" s="22" t="s">
        <v>193</v>
      </c>
      <c r="D75" s="17" t="s">
        <v>82</v>
      </c>
      <c r="E75" s="12" t="str">
        <f t="shared" si="3"/>
        <v>Correcto</v>
      </c>
      <c r="F75" s="6">
        <f>IF(UPPER(D75)="rain man",1,0)</f>
        <v>1</v>
      </c>
    </row>
    <row r="76" spans="2:6" ht="102">
      <c r="B76" s="19">
        <f t="shared" si="2"/>
        <v>72</v>
      </c>
      <c r="C76" s="22" t="s">
        <v>24</v>
      </c>
      <c r="D76" s="17" t="s">
        <v>83</v>
      </c>
      <c r="E76" s="12" t="str">
        <f t="shared" si="3"/>
        <v>Correcto</v>
      </c>
      <c r="F76" s="6">
        <f>IF(UPPER(D76)="el chico de oro",1,0)</f>
        <v>1</v>
      </c>
    </row>
    <row r="77" spans="2:6" ht="65.25" customHeight="1">
      <c r="B77" s="19">
        <f t="shared" si="2"/>
        <v>73</v>
      </c>
      <c r="C77" s="22" t="s">
        <v>278</v>
      </c>
      <c r="D77" s="17" t="s">
        <v>242</v>
      </c>
      <c r="E77" s="11" t="str">
        <f t="shared" si="3"/>
        <v>Correcto</v>
      </c>
      <c r="F77" s="6">
        <f>IF(UPPER(D77)="American Graffiti",1,0)</f>
        <v>1</v>
      </c>
    </row>
    <row r="78" spans="2:6" ht="89.25">
      <c r="B78" s="19">
        <f t="shared" si="2"/>
        <v>74</v>
      </c>
      <c r="C78" s="22" t="s">
        <v>266</v>
      </c>
      <c r="D78" s="17" t="s">
        <v>85</v>
      </c>
      <c r="E78" s="11" t="str">
        <f t="shared" si="3"/>
        <v>Correcto</v>
      </c>
      <c r="F78" s="6">
        <f>IF(UPPER(D78)="rebeca",1,0)</f>
        <v>1</v>
      </c>
    </row>
    <row r="79" spans="2:6" ht="63.75">
      <c r="B79" s="19">
        <f t="shared" si="2"/>
        <v>75</v>
      </c>
      <c r="C79" s="22" t="s">
        <v>365</v>
      </c>
      <c r="D79" s="17" t="s">
        <v>86</v>
      </c>
      <c r="E79" s="11" t="str">
        <f t="shared" si="3"/>
        <v>Correcto</v>
      </c>
      <c r="F79" s="6">
        <f>IF(UPPER(D79)="aracnofobia",1,0)</f>
        <v>1</v>
      </c>
    </row>
    <row r="80" spans="2:6" ht="114.75">
      <c r="B80" s="19">
        <f t="shared" si="2"/>
        <v>76</v>
      </c>
      <c r="C80" s="22" t="s">
        <v>267</v>
      </c>
      <c r="D80" s="17" t="s">
        <v>310</v>
      </c>
      <c r="E80" s="11" t="str">
        <f t="shared" si="3"/>
        <v>Correcto</v>
      </c>
      <c r="F80" s="6">
        <f>IF(UPPER(D80)="rapida y mortal",1,0)</f>
        <v>1</v>
      </c>
    </row>
    <row r="81" spans="2:6" ht="51">
      <c r="B81" s="19">
        <f t="shared" si="2"/>
        <v>77</v>
      </c>
      <c r="C81" s="22" t="s">
        <v>364</v>
      </c>
      <c r="D81" s="17" t="s">
        <v>311</v>
      </c>
      <c r="E81" s="11" t="str">
        <f t="shared" si="3"/>
        <v>Correcto</v>
      </c>
      <c r="F81" s="6">
        <f>IF(UPPER(D81)="el apartamento",1,0)</f>
        <v>1</v>
      </c>
    </row>
    <row r="82" spans="2:6" ht="89.25">
      <c r="B82" s="19">
        <f t="shared" si="2"/>
        <v>78</v>
      </c>
      <c r="C82" s="22" t="s">
        <v>222</v>
      </c>
      <c r="D82" s="17" t="s">
        <v>312</v>
      </c>
      <c r="E82" s="11" t="str">
        <f t="shared" si="3"/>
        <v>Correcto</v>
      </c>
      <c r="F82" s="6">
        <f>IF(UPPER(D82)="Billy Elliot",1,0)</f>
        <v>1</v>
      </c>
    </row>
    <row r="83" spans="2:6" ht="127.5">
      <c r="B83" s="19">
        <f t="shared" si="2"/>
        <v>79</v>
      </c>
      <c r="C83" s="22" t="s">
        <v>269</v>
      </c>
      <c r="D83" s="17" t="s">
        <v>313</v>
      </c>
      <c r="E83" s="11" t="str">
        <f t="shared" si="3"/>
        <v>Correcto</v>
      </c>
      <c r="F83" s="6">
        <f>IF(UPPER(D83)="la reina de africa",1,0)</f>
        <v>1</v>
      </c>
    </row>
    <row r="84" spans="2:6" ht="76.5">
      <c r="B84" s="19">
        <f t="shared" si="2"/>
        <v>80</v>
      </c>
      <c r="C84" s="22" t="s">
        <v>246</v>
      </c>
      <c r="D84" s="17" t="s">
        <v>314</v>
      </c>
      <c r="E84" s="11" t="str">
        <f t="shared" si="3"/>
        <v>Correcto</v>
      </c>
      <c r="F84" s="6">
        <f>IF(UPPER(D84)="very bad things",1,0)</f>
        <v>1</v>
      </c>
    </row>
    <row r="85" spans="2:6" ht="140.25">
      <c r="B85" s="19">
        <f t="shared" si="2"/>
        <v>81</v>
      </c>
      <c r="C85" s="22" t="s">
        <v>354</v>
      </c>
      <c r="D85" s="17" t="s">
        <v>315</v>
      </c>
      <c r="E85" s="11" t="str">
        <f t="shared" si="3"/>
        <v>Correcto</v>
      </c>
      <c r="F85" s="6">
        <f>IF(UPPER(D85)="el señor de las bestias",1,0)</f>
        <v>1</v>
      </c>
    </row>
    <row r="86" spans="2:6" ht="102">
      <c r="B86" s="19">
        <f t="shared" si="2"/>
        <v>82</v>
      </c>
      <c r="C86" s="22" t="s">
        <v>260</v>
      </c>
      <c r="D86" s="17" t="s">
        <v>316</v>
      </c>
      <c r="E86" s="11" t="str">
        <f t="shared" si="3"/>
        <v>Correcto</v>
      </c>
      <c r="F86" s="6">
        <f>IF(UPPER(D86)="aguila de acero",1,0)</f>
        <v>1</v>
      </c>
    </row>
    <row r="87" spans="2:6" ht="140.25">
      <c r="B87" s="19">
        <f t="shared" si="2"/>
        <v>83</v>
      </c>
      <c r="C87" s="22" t="s">
        <v>268</v>
      </c>
      <c r="D87" s="17" t="s">
        <v>317</v>
      </c>
      <c r="E87" s="11" t="str">
        <f t="shared" si="3"/>
        <v>Correcto</v>
      </c>
      <c r="F87" s="6">
        <f>IF(UPPER(D87)="rebeldes",1,0)</f>
        <v>1</v>
      </c>
    </row>
    <row r="88" spans="2:6" ht="51">
      <c r="B88" s="19">
        <f t="shared" si="2"/>
        <v>84</v>
      </c>
      <c r="C88" s="22" t="s">
        <v>187</v>
      </c>
      <c r="D88" s="17" t="s">
        <v>318</v>
      </c>
      <c r="E88" s="11" t="str">
        <f t="shared" si="3"/>
        <v>Correcto</v>
      </c>
      <c r="F88" s="6">
        <f>IF(UPPER(D88)="agarralo como puedas",1,0)</f>
        <v>1</v>
      </c>
    </row>
    <row r="89" spans="2:6" ht="114.75">
      <c r="B89" s="19">
        <f t="shared" si="2"/>
        <v>85</v>
      </c>
      <c r="C89" s="22" t="s">
        <v>374</v>
      </c>
      <c r="D89" s="17" t="s">
        <v>138</v>
      </c>
      <c r="E89" s="11" t="str">
        <f t="shared" si="3"/>
        <v>Correcto</v>
      </c>
      <c r="F89" s="6">
        <f>IF(UPPER(D89)="requiem por un sueño",1,0)</f>
        <v>1</v>
      </c>
    </row>
    <row r="90" spans="2:6" ht="89.25">
      <c r="B90" s="19">
        <f t="shared" si="2"/>
        <v>86</v>
      </c>
      <c r="C90" s="22" t="s">
        <v>375</v>
      </c>
      <c r="D90" s="17" t="s">
        <v>319</v>
      </c>
      <c r="E90" s="11" t="str">
        <f t="shared" si="3"/>
        <v>Correcto</v>
      </c>
      <c r="F90" s="6">
        <f>IF(UPPER(D90)="el resplandor",1,0)</f>
        <v>1</v>
      </c>
    </row>
    <row r="91" spans="2:6" ht="102">
      <c r="B91" s="19">
        <f t="shared" si="2"/>
        <v>87</v>
      </c>
      <c r="C91" s="22" t="s">
        <v>366</v>
      </c>
      <c r="D91" s="17" t="s">
        <v>320</v>
      </c>
      <c r="E91" s="11" t="str">
        <f t="shared" si="3"/>
        <v>Correcto</v>
      </c>
      <c r="F91" s="6">
        <f>IF(UPPER(D91)="arizona baby",1,0)</f>
        <v>1</v>
      </c>
    </row>
    <row r="92" spans="2:6" ht="63.75">
      <c r="B92" s="19">
        <f t="shared" si="2"/>
        <v>88</v>
      </c>
      <c r="C92" s="22" t="s">
        <v>376</v>
      </c>
      <c r="D92" s="17" t="s">
        <v>243</v>
      </c>
      <c r="E92" s="11" t="str">
        <f t="shared" si="3"/>
        <v>Correcto</v>
      </c>
      <c r="F92" s="6">
        <f>IF(UPPER(D92)="rio bravo",1,0)</f>
        <v>1</v>
      </c>
    </row>
    <row r="93" spans="2:6" ht="63.75">
      <c r="B93" s="19">
        <f t="shared" si="2"/>
        <v>89</v>
      </c>
      <c r="C93" s="22" t="s">
        <v>186</v>
      </c>
      <c r="D93" s="17" t="s">
        <v>139</v>
      </c>
      <c r="E93" s="11" t="str">
        <f t="shared" si="3"/>
        <v>Correcto</v>
      </c>
      <c r="F93" s="6">
        <f>IF(UPPER(D93)="adivina quien viene esta noche",1,0)</f>
        <v>1</v>
      </c>
    </row>
    <row r="94" spans="2:6" ht="38.25">
      <c r="B94" s="19">
        <f t="shared" si="2"/>
        <v>90</v>
      </c>
      <c r="C94" s="22" t="s">
        <v>380</v>
      </c>
      <c r="D94" s="17" t="s">
        <v>321</v>
      </c>
      <c r="E94" s="11" t="str">
        <f t="shared" si="3"/>
        <v>Correcto</v>
      </c>
      <c r="F94" s="6">
        <f>IF(UPPER(D94)="flashdance",1,0)</f>
        <v>1</v>
      </c>
    </row>
    <row r="95" spans="2:6" ht="51">
      <c r="B95" s="19">
        <f t="shared" si="2"/>
        <v>91</v>
      </c>
      <c r="C95" s="22" t="s">
        <v>379</v>
      </c>
      <c r="D95" s="17" t="s">
        <v>322</v>
      </c>
      <c r="E95" s="11" t="str">
        <f t="shared" si="3"/>
        <v>Correcto</v>
      </c>
      <c r="F95" s="6">
        <f>IF(UPPER(D95)="fiebre del sabado noche",1,0)</f>
        <v>1</v>
      </c>
    </row>
    <row r="96" spans="2:6" ht="63.75">
      <c r="B96" s="19">
        <f t="shared" si="2"/>
        <v>92</v>
      </c>
      <c r="C96" s="22" t="s">
        <v>368</v>
      </c>
      <c r="D96" s="17" t="s">
        <v>323</v>
      </c>
      <c r="E96" s="11" t="str">
        <f t="shared" si="3"/>
        <v>Correcto</v>
      </c>
      <c r="F96" s="6">
        <f>IF(UPPER(D96)="aterriza como puedas",1,0)</f>
        <v>1</v>
      </c>
    </row>
    <row r="97" spans="2:6" ht="102">
      <c r="B97" s="19">
        <f t="shared" si="2"/>
        <v>93</v>
      </c>
      <c r="C97" s="22" t="s">
        <v>367</v>
      </c>
      <c r="D97" s="17" t="s">
        <v>329</v>
      </c>
      <c r="E97" s="11" t="str">
        <f t="shared" si="3"/>
        <v>Correcto</v>
      </c>
      <c r="F97" s="6">
        <f>IF(UPPER(D97)="arma joven",1,0)</f>
        <v>1</v>
      </c>
    </row>
    <row r="98" spans="2:6" ht="102">
      <c r="B98" s="19">
        <f t="shared" si="2"/>
        <v>94</v>
      </c>
      <c r="C98" s="22" t="s">
        <v>378</v>
      </c>
      <c r="D98" s="17" t="s">
        <v>244</v>
      </c>
      <c r="E98" s="11" t="str">
        <f t="shared" si="3"/>
        <v>Correcto</v>
      </c>
      <c r="F98" s="6">
        <f>IF(UPPER(D98)="fargo",1,0)</f>
        <v>1</v>
      </c>
    </row>
    <row r="99" spans="2:6" ht="91.5" customHeight="1">
      <c r="B99" s="19">
        <f t="shared" si="2"/>
        <v>95</v>
      </c>
      <c r="C99" s="22" t="s">
        <v>248</v>
      </c>
      <c r="D99" s="17" t="s">
        <v>141</v>
      </c>
      <c r="E99" s="11" t="str">
        <f t="shared" si="3"/>
        <v>Correcto</v>
      </c>
      <c r="F99" s="6">
        <f>IF(UPPER(D99)="las virgenes suicidas",1,0)</f>
        <v>1</v>
      </c>
    </row>
    <row r="100" spans="2:6" ht="76.5">
      <c r="B100" s="19">
        <f t="shared" si="2"/>
        <v>96</v>
      </c>
      <c r="C100" s="22" t="s">
        <v>377</v>
      </c>
      <c r="D100" s="17" t="s">
        <v>324</v>
      </c>
      <c r="E100" s="11" t="str">
        <f t="shared" si="3"/>
        <v>Correcto</v>
      </c>
      <c r="F100" s="6">
        <f>IF(UPPER(D100)="la roca",1,0)</f>
        <v>1</v>
      </c>
    </row>
    <row r="101" spans="2:6" ht="76.5">
      <c r="B101" s="19">
        <f t="shared" si="2"/>
        <v>97</v>
      </c>
      <c r="C101" s="22" t="s">
        <v>381</v>
      </c>
      <c r="D101" s="17" t="s">
        <v>325</v>
      </c>
      <c r="E101" s="11" t="str">
        <f t="shared" si="3"/>
        <v>Correcto</v>
      </c>
      <c r="F101" s="6">
        <f>IF(UPPER(D101)="footloose",1,0)</f>
        <v>1</v>
      </c>
    </row>
    <row r="102" spans="2:6" ht="51">
      <c r="B102" s="19">
        <f t="shared" si="2"/>
        <v>98</v>
      </c>
      <c r="C102" s="22" t="s">
        <v>261</v>
      </c>
      <c r="D102" s="17" t="s">
        <v>326</v>
      </c>
      <c r="E102" s="11" t="str">
        <f t="shared" si="3"/>
        <v>Correcto</v>
      </c>
      <c r="F102" s="6">
        <f>IF(UPPER(D102)="airbag",1,0)</f>
        <v>1</v>
      </c>
    </row>
    <row r="103" spans="2:6" ht="76.5">
      <c r="B103" s="19">
        <f t="shared" si="2"/>
        <v>99</v>
      </c>
      <c r="C103" s="22" t="s">
        <v>371</v>
      </c>
      <c r="D103" s="17" t="s">
        <v>327</v>
      </c>
      <c r="E103" s="11" t="str">
        <f t="shared" si="3"/>
        <v>Correcto</v>
      </c>
      <c r="F103" s="6">
        <f>IF(UPPER(D103)="willow",1,0)</f>
        <v>1</v>
      </c>
    </row>
    <row r="104" spans="2:6" ht="51">
      <c r="B104" s="19">
        <f t="shared" si="2"/>
        <v>100</v>
      </c>
      <c r="C104" s="22" t="s">
        <v>262</v>
      </c>
      <c r="D104" s="17" t="s">
        <v>328</v>
      </c>
      <c r="E104" s="11" t="str">
        <f t="shared" si="3"/>
        <v>Correcto</v>
      </c>
      <c r="F104" s="6">
        <f>IF(UPPER(D104)="algo pasa con mary",1,0)</f>
        <v>1</v>
      </c>
    </row>
    <row r="105" spans="2:6" ht="63.75">
      <c r="B105" s="19">
        <f aca="true" t="shared" si="4" ref="B105:B168">B104+1</f>
        <v>101</v>
      </c>
      <c r="C105" s="22" t="s">
        <v>211</v>
      </c>
      <c r="D105" s="17" t="s">
        <v>88</v>
      </c>
      <c r="E105" s="11" t="str">
        <f aca="true" t="shared" si="5" ref="E105:E168">IF(F105=0,"Incorrecto","Correcto")</f>
        <v>Correcto</v>
      </c>
      <c r="F105" s="6">
        <f>IF(UPPER(D105)="perros de paja",1,0)</f>
        <v>1</v>
      </c>
    </row>
    <row r="106" spans="2:6" ht="51">
      <c r="B106" s="19">
        <f t="shared" si="4"/>
        <v>102</v>
      </c>
      <c r="C106" s="22" t="s">
        <v>1</v>
      </c>
      <c r="D106" s="17" t="s">
        <v>330</v>
      </c>
      <c r="E106" s="11" t="str">
        <f t="shared" si="5"/>
        <v>Correcto</v>
      </c>
      <c r="F106" s="6">
        <f>IF(UPPER(D106)="persiguiendo a amy",1,0)</f>
        <v>1</v>
      </c>
    </row>
    <row r="107" spans="2:6" ht="76.5">
      <c r="B107" s="19">
        <f t="shared" si="4"/>
        <v>103</v>
      </c>
      <c r="C107" s="22" t="s">
        <v>4</v>
      </c>
      <c r="D107" s="17" t="s">
        <v>331</v>
      </c>
      <c r="E107" s="11" t="str">
        <f t="shared" si="5"/>
        <v>Correcto</v>
      </c>
      <c r="F107" s="6">
        <f>IF(UPPER(D107)="platoon",1,0)</f>
        <v>1</v>
      </c>
    </row>
    <row r="108" spans="2:6" ht="127.5">
      <c r="B108" s="19">
        <f t="shared" si="4"/>
        <v>104</v>
      </c>
      <c r="C108" s="22" t="s">
        <v>6</v>
      </c>
      <c r="D108" s="17" t="s">
        <v>142</v>
      </c>
      <c r="E108" s="11" t="str">
        <f t="shared" si="5"/>
        <v>Correcto</v>
      </c>
      <c r="F108" s="6">
        <f>IF(UPPER(D108)="primera plana",1,0)</f>
        <v>1</v>
      </c>
    </row>
    <row r="109" spans="2:6" ht="83.25" customHeight="1">
      <c r="B109" s="19">
        <f t="shared" si="4"/>
        <v>105</v>
      </c>
      <c r="C109" s="22" t="s">
        <v>7</v>
      </c>
      <c r="D109" s="17" t="s">
        <v>143</v>
      </c>
      <c r="E109" s="11" t="str">
        <f t="shared" si="5"/>
        <v>Correcto</v>
      </c>
      <c r="F109" s="6">
        <f>IF(UPPER(D109)="la princesa prometida",1,0)</f>
        <v>1</v>
      </c>
    </row>
    <row r="110" spans="2:6" ht="102">
      <c r="B110" s="19">
        <f t="shared" si="4"/>
        <v>106</v>
      </c>
      <c r="C110" s="22" t="s">
        <v>383</v>
      </c>
      <c r="D110" s="17" t="s">
        <v>144</v>
      </c>
      <c r="E110" s="11" t="str">
        <f t="shared" si="5"/>
        <v>Correcto</v>
      </c>
      <c r="F110" s="6">
        <f>IF(UPPER(D110)="psicosis",1,0)</f>
        <v>1</v>
      </c>
    </row>
    <row r="111" spans="2:6" ht="102">
      <c r="B111" s="19">
        <f t="shared" si="4"/>
        <v>107</v>
      </c>
      <c r="C111" s="22" t="s">
        <v>386</v>
      </c>
      <c r="D111" s="17" t="s">
        <v>145</v>
      </c>
      <c r="E111" s="11" t="str">
        <f t="shared" si="5"/>
        <v>Correcto</v>
      </c>
      <c r="F111" s="6">
        <f>IF(UPPER(D111)="gigante",1,0)</f>
        <v>1</v>
      </c>
    </row>
    <row r="112" spans="2:6" ht="76.5">
      <c r="B112" s="19">
        <f t="shared" si="4"/>
        <v>108</v>
      </c>
      <c r="C112" s="22" t="s">
        <v>293</v>
      </c>
      <c r="D112" s="17" t="s">
        <v>146</v>
      </c>
      <c r="E112" s="11" t="str">
        <f t="shared" si="5"/>
        <v>Correcto</v>
      </c>
      <c r="F112" s="6">
        <f>IF(UPPER(D112)="oficial y caballero",1,0)</f>
        <v>1</v>
      </c>
    </row>
    <row r="113" spans="2:6" ht="102">
      <c r="B113" s="19">
        <f t="shared" si="4"/>
        <v>109</v>
      </c>
      <c r="C113" s="22" t="s">
        <v>18</v>
      </c>
      <c r="D113" s="17" t="s">
        <v>332</v>
      </c>
      <c r="E113" s="11" t="str">
        <f t="shared" si="5"/>
        <v>Correcto</v>
      </c>
      <c r="F113" s="6">
        <f>IF(UPPER(D113)="los goonies",1,0)</f>
        <v>1</v>
      </c>
    </row>
    <row r="114" spans="2:6" ht="76.5">
      <c r="B114" s="19">
        <f t="shared" si="4"/>
        <v>110</v>
      </c>
      <c r="C114" s="22" t="s">
        <v>15</v>
      </c>
      <c r="D114" s="17" t="s">
        <v>333</v>
      </c>
      <c r="E114" s="11" t="str">
        <f t="shared" si="5"/>
        <v>Correcto</v>
      </c>
      <c r="F114" s="6">
        <f>IF(UPPER(D114)="Osmosis Jones",1,0)</f>
        <v>1</v>
      </c>
    </row>
    <row r="115" spans="2:6" ht="38.25">
      <c r="B115" s="19">
        <f t="shared" si="4"/>
        <v>111</v>
      </c>
      <c r="C115" s="22" t="s">
        <v>388</v>
      </c>
      <c r="D115" s="17" t="s">
        <v>334</v>
      </c>
      <c r="E115" s="11" t="str">
        <f t="shared" si="5"/>
        <v>Correcto</v>
      </c>
      <c r="F115" s="6">
        <f>IF(UPPER(D115)="el golpe",1,0)</f>
        <v>1</v>
      </c>
    </row>
    <row r="116" spans="2:6" ht="153">
      <c r="B116" s="19">
        <f t="shared" si="4"/>
        <v>112</v>
      </c>
      <c r="C116" s="22" t="s">
        <v>16</v>
      </c>
      <c r="D116" s="17" t="s">
        <v>335</v>
      </c>
      <c r="E116" s="11" t="str">
        <f t="shared" si="5"/>
        <v>Correcto</v>
      </c>
      <c r="F116" s="6">
        <f>IF(UPPER(D116)="el halcon maltes",1,0)</f>
        <v>1</v>
      </c>
    </row>
    <row r="117" spans="2:6" ht="76.5">
      <c r="B117" s="19">
        <f t="shared" si="4"/>
        <v>113</v>
      </c>
      <c r="C117" s="22" t="s">
        <v>21</v>
      </c>
      <c r="D117" s="17" t="s">
        <v>336</v>
      </c>
      <c r="E117" s="11" t="str">
        <f t="shared" si="5"/>
        <v>Correcto</v>
      </c>
      <c r="F117" s="6">
        <f>IF(UPPER(D117)="el gran azul",1,0)</f>
        <v>1</v>
      </c>
    </row>
    <row r="118" spans="2:6" ht="38.25">
      <c r="B118" s="19">
        <f t="shared" si="4"/>
        <v>114</v>
      </c>
      <c r="C118" s="22" t="s">
        <v>23</v>
      </c>
      <c r="D118" s="17" t="s">
        <v>147</v>
      </c>
      <c r="E118" s="11" t="str">
        <f t="shared" si="5"/>
        <v>Correcto</v>
      </c>
      <c r="F118" s="6">
        <f>IF(UPPER(D118)="el guateque",1,0)</f>
        <v>1</v>
      </c>
    </row>
    <row r="119" spans="2:6" ht="89.25">
      <c r="B119" s="19">
        <f t="shared" si="4"/>
        <v>115</v>
      </c>
      <c r="C119" s="22" t="s">
        <v>288</v>
      </c>
      <c r="D119" s="17" t="s">
        <v>337</v>
      </c>
      <c r="E119" s="11" t="str">
        <f t="shared" si="5"/>
        <v>Correcto</v>
      </c>
      <c r="F119" s="6">
        <f>IF(UPPER(D119)="una historia del bronx",1,0)</f>
        <v>1</v>
      </c>
    </row>
    <row r="120" spans="2:6" ht="76.5">
      <c r="B120" s="19">
        <f t="shared" si="4"/>
        <v>116</v>
      </c>
      <c r="C120" s="22" t="s">
        <v>19</v>
      </c>
      <c r="D120" s="17" t="s">
        <v>338</v>
      </c>
      <c r="E120" s="11" t="str">
        <f t="shared" si="5"/>
        <v>Correcto</v>
      </c>
      <c r="F120" s="6">
        <f>IF(UPPER(D120)="gorilas en la niebla",1,0)</f>
        <v>1</v>
      </c>
    </row>
    <row r="121" spans="2:6" ht="102">
      <c r="B121" s="19">
        <f t="shared" si="4"/>
        <v>117</v>
      </c>
      <c r="C121" s="22" t="s">
        <v>289</v>
      </c>
      <c r="D121" s="17" t="s">
        <v>148</v>
      </c>
      <c r="E121" s="11" t="str">
        <f t="shared" si="5"/>
        <v>Correcto</v>
      </c>
      <c r="F121" s="6">
        <f>IF(UPPER(D121)="el hombre que sabia demasiado",1,0)</f>
        <v>1</v>
      </c>
    </row>
    <row r="122" spans="2:6" ht="76.5">
      <c r="B122" s="19">
        <f t="shared" si="4"/>
        <v>118</v>
      </c>
      <c r="C122" s="22" t="s">
        <v>384</v>
      </c>
      <c r="D122" s="17" t="s">
        <v>339</v>
      </c>
      <c r="E122" s="11" t="str">
        <f t="shared" si="5"/>
        <v>Correcto</v>
      </c>
      <c r="F122" s="6">
        <f>IF(UPPER(D122)="pulp fiction",1,0)</f>
        <v>1</v>
      </c>
    </row>
    <row r="123" spans="2:6" ht="178.5">
      <c r="B123" s="19">
        <f t="shared" si="4"/>
        <v>119</v>
      </c>
      <c r="C123" s="22" t="s">
        <v>291</v>
      </c>
      <c r="D123" s="17" t="s">
        <v>149</v>
      </c>
      <c r="E123" s="11" t="str">
        <f t="shared" si="5"/>
        <v>Correcto</v>
      </c>
      <c r="F123" s="6">
        <f>IF(UPPER(D123)="la huella",1,0)</f>
        <v>1</v>
      </c>
    </row>
    <row r="124" spans="2:6" ht="114.75">
      <c r="B124" s="19">
        <f t="shared" si="4"/>
        <v>120</v>
      </c>
      <c r="C124" s="22" t="s">
        <v>221</v>
      </c>
      <c r="D124" s="17" t="s">
        <v>340</v>
      </c>
      <c r="E124" s="11" t="str">
        <f t="shared" si="5"/>
        <v>Correcto</v>
      </c>
      <c r="F124" s="6">
        <f>IF(UPPER(D124)="el nombre de la rosa",1,0)</f>
        <v>1</v>
      </c>
    </row>
    <row r="125" spans="2:6" ht="76.5">
      <c r="B125" s="19">
        <f t="shared" si="4"/>
        <v>121</v>
      </c>
      <c r="C125" s="22" t="s">
        <v>194</v>
      </c>
      <c r="D125" s="17" t="s">
        <v>341</v>
      </c>
      <c r="E125" s="11" t="str">
        <f t="shared" si="5"/>
        <v>Correcto</v>
      </c>
      <c r="F125" s="6">
        <f>IF(UPPER(D125)="el imperio del sol",1,0)</f>
        <v>1</v>
      </c>
    </row>
    <row r="126" spans="2:6" ht="114.75">
      <c r="B126" s="19">
        <f t="shared" si="4"/>
        <v>122</v>
      </c>
      <c r="C126" s="22" t="s">
        <v>196</v>
      </c>
      <c r="D126" s="17" t="s">
        <v>342</v>
      </c>
      <c r="E126" s="11" t="str">
        <f t="shared" si="5"/>
        <v>Correcto</v>
      </c>
      <c r="F126" s="6">
        <f>IF(UPPER(D126)="instinto basico",1,0)</f>
        <v>1</v>
      </c>
    </row>
    <row r="127" spans="2:6" ht="51">
      <c r="B127" s="19">
        <f t="shared" si="4"/>
        <v>123</v>
      </c>
      <c r="C127" s="22" t="s">
        <v>197</v>
      </c>
      <c r="D127" s="17" t="s">
        <v>343</v>
      </c>
      <c r="E127" s="11" t="str">
        <f t="shared" si="5"/>
        <v>Correcto</v>
      </c>
      <c r="F127" s="6">
        <f>IF(UPPER(D127)="los intocables de elliot ness",1,0)</f>
        <v>1</v>
      </c>
    </row>
    <row r="128" spans="2:6" ht="114.75">
      <c r="B128" s="19">
        <f t="shared" si="4"/>
        <v>124</v>
      </c>
      <c r="C128" s="22" t="s">
        <v>199</v>
      </c>
      <c r="D128" s="17" t="s">
        <v>344</v>
      </c>
      <c r="E128" s="11" t="str">
        <f t="shared" si="5"/>
        <v>Correcto</v>
      </c>
      <c r="F128" s="6">
        <f>IF(UPPER(D128)="mallrats",1,0)</f>
        <v>1</v>
      </c>
    </row>
    <row r="129" spans="2:6" ht="89.25">
      <c r="B129" s="19">
        <f t="shared" si="4"/>
        <v>125</v>
      </c>
      <c r="C129" s="22" t="s">
        <v>270</v>
      </c>
      <c r="D129" s="17" t="s">
        <v>150</v>
      </c>
      <c r="E129" s="11" t="str">
        <f t="shared" si="5"/>
        <v>Correcto</v>
      </c>
      <c r="F129" s="6">
        <f>IF(UPPER(D129)="el maquinista de la general",1,0)</f>
        <v>1</v>
      </c>
    </row>
    <row r="130" spans="2:6" ht="76.5">
      <c r="B130" s="19">
        <f t="shared" si="4"/>
        <v>126</v>
      </c>
      <c r="C130" s="22" t="s">
        <v>10</v>
      </c>
      <c r="D130" s="17" t="s">
        <v>345</v>
      </c>
      <c r="E130" s="11" t="str">
        <f t="shared" si="5"/>
        <v>Correcto</v>
      </c>
      <c r="F130" s="6">
        <f>IF(UPPER(D130)="maverick",1,0)</f>
        <v>1</v>
      </c>
    </row>
    <row r="131" spans="2:6" ht="127.5">
      <c r="B131" s="19">
        <f t="shared" si="4"/>
        <v>127</v>
      </c>
      <c r="C131" s="22" t="s">
        <v>12</v>
      </c>
      <c r="D131" s="17" t="s">
        <v>347</v>
      </c>
      <c r="E131" s="11" t="str">
        <f t="shared" si="5"/>
        <v>Correcto</v>
      </c>
      <c r="F131" s="6">
        <f>IF(UPPER(D131)="memorias de africa",1,0)</f>
        <v>1</v>
      </c>
    </row>
    <row r="132" spans="2:6" ht="102">
      <c r="B132" s="19">
        <f t="shared" si="4"/>
        <v>128</v>
      </c>
      <c r="C132" s="22" t="s">
        <v>13</v>
      </c>
      <c r="D132" s="17" t="s">
        <v>346</v>
      </c>
      <c r="E132" s="11" t="str">
        <f t="shared" si="5"/>
        <v>Correcto</v>
      </c>
      <c r="F132" s="6">
        <f>IF(UPPER(D132)="mentiras arriesgadas",1,0)</f>
        <v>1</v>
      </c>
    </row>
    <row r="133" spans="2:6" ht="114.75">
      <c r="B133" s="19">
        <f t="shared" si="4"/>
        <v>129</v>
      </c>
      <c r="C133" s="22" t="s">
        <v>14</v>
      </c>
      <c r="D133" s="17" t="s">
        <v>151</v>
      </c>
      <c r="E133" s="11" t="str">
        <f t="shared" si="5"/>
        <v>Correcto</v>
      </c>
      <c r="F133" s="6">
        <f>IF(UPPER(D133)="my girl",1,0)</f>
        <v>1</v>
      </c>
    </row>
    <row r="134" spans="2:6" ht="76.5">
      <c r="B134" s="19">
        <f t="shared" si="4"/>
        <v>130</v>
      </c>
      <c r="C134" s="22" t="s">
        <v>302</v>
      </c>
      <c r="D134" s="17" t="s">
        <v>348</v>
      </c>
      <c r="E134" s="11" t="str">
        <f t="shared" si="5"/>
        <v>Correcto</v>
      </c>
      <c r="F134" s="6">
        <f>IF(UPPER(D134)="la milla verde",1,0)</f>
        <v>1</v>
      </c>
    </row>
    <row r="135" spans="2:6" ht="102">
      <c r="B135" s="19">
        <f t="shared" si="4"/>
        <v>131</v>
      </c>
      <c r="C135" s="22" t="s">
        <v>230</v>
      </c>
      <c r="D135" s="17" t="s">
        <v>349</v>
      </c>
      <c r="E135" s="11" t="str">
        <f t="shared" si="5"/>
        <v>Correcto</v>
      </c>
      <c r="F135" s="6">
        <f>IF(UPPER(D135)="misery",1,0)</f>
        <v>1</v>
      </c>
    </row>
    <row r="136" spans="2:6" ht="51">
      <c r="B136" s="19">
        <f t="shared" si="4"/>
        <v>132</v>
      </c>
      <c r="C136" s="22" t="s">
        <v>232</v>
      </c>
      <c r="D136" s="17" t="s">
        <v>152</v>
      </c>
      <c r="E136" s="11" t="str">
        <f t="shared" si="5"/>
        <v>Correcto</v>
      </c>
      <c r="F136" s="6">
        <f>IF(UPPER(D136)="moulin rouge",1,0)</f>
        <v>1</v>
      </c>
    </row>
    <row r="137" spans="2:6" ht="102">
      <c r="B137" s="19">
        <f t="shared" si="4"/>
        <v>133</v>
      </c>
      <c r="C137" s="22" t="s">
        <v>234</v>
      </c>
      <c r="D137" s="17" t="s">
        <v>350</v>
      </c>
      <c r="E137" s="11" t="str">
        <f t="shared" si="5"/>
        <v>Correcto</v>
      </c>
      <c r="F137" s="6">
        <f>IF(UPPER(D137)="mujer blanca soltera busca",1,0)</f>
        <v>1</v>
      </c>
    </row>
    <row r="138" spans="2:6" ht="51">
      <c r="B138" s="19">
        <f t="shared" si="4"/>
        <v>134</v>
      </c>
      <c r="C138" s="22" t="s">
        <v>251</v>
      </c>
      <c r="D138" s="17" t="s">
        <v>351</v>
      </c>
      <c r="E138" s="11" t="str">
        <f t="shared" si="5"/>
        <v>Correcto</v>
      </c>
      <c r="F138" s="6">
        <f>IF(UPPER(D138)="jackie brown",1,0)</f>
        <v>1</v>
      </c>
    </row>
    <row r="139" spans="2:6" ht="63.75">
      <c r="B139" s="19">
        <f t="shared" si="4"/>
        <v>135</v>
      </c>
      <c r="C139" s="22" t="s">
        <v>250</v>
      </c>
      <c r="D139" s="17" t="s">
        <v>352</v>
      </c>
      <c r="E139" s="11" t="str">
        <f t="shared" si="5"/>
        <v>Correcto</v>
      </c>
      <c r="F139" s="6">
        <f>IF(UPPER(D139)="my fair lady",1,0)</f>
        <v>1</v>
      </c>
    </row>
    <row r="140" spans="2:6" ht="63.75">
      <c r="B140" s="19">
        <f t="shared" si="4"/>
        <v>136</v>
      </c>
      <c r="C140" s="22" t="s">
        <v>253</v>
      </c>
      <c r="D140" s="17" t="s">
        <v>89</v>
      </c>
      <c r="E140" s="11" t="str">
        <f t="shared" si="5"/>
        <v>Correcto</v>
      </c>
      <c r="F140" s="6">
        <f>IF(UPPER(D140)="juego de lagrimas",1,0)</f>
        <v>1</v>
      </c>
    </row>
    <row r="141" spans="2:6" ht="76.5">
      <c r="B141" s="19">
        <f t="shared" si="4"/>
        <v>137</v>
      </c>
      <c r="C141" s="22" t="s">
        <v>255</v>
      </c>
      <c r="D141" s="17" t="s">
        <v>241</v>
      </c>
      <c r="E141" s="11" t="str">
        <f t="shared" si="5"/>
        <v>Correcto</v>
      </c>
      <c r="F141" s="6">
        <f>IF(UPPER(D141)="l.a. confidential",1,0)</f>
        <v>1</v>
      </c>
    </row>
    <row r="142" spans="2:6" ht="114.75">
      <c r="B142" s="19">
        <f t="shared" si="4"/>
        <v>138</v>
      </c>
      <c r="C142" s="22" t="s">
        <v>259</v>
      </c>
      <c r="D142" s="17" t="s">
        <v>94</v>
      </c>
      <c r="E142" s="11" t="str">
        <f t="shared" si="5"/>
        <v>Correcto</v>
      </c>
      <c r="F142" s="6">
        <f>IF(UPPER(D142)="la ley del silencio",1,0)</f>
        <v>1</v>
      </c>
    </row>
    <row r="143" spans="2:6" ht="102">
      <c r="B143" s="19">
        <f t="shared" si="4"/>
        <v>139</v>
      </c>
      <c r="C143" s="22" t="s">
        <v>358</v>
      </c>
      <c r="D143" s="17" t="s">
        <v>95</v>
      </c>
      <c r="E143" s="11" t="str">
        <f t="shared" si="5"/>
        <v>Correcto</v>
      </c>
      <c r="F143" s="6">
        <f>IF(UPPER(D143)="la lista de schindler",1,0)</f>
        <v>1</v>
      </c>
    </row>
    <row r="144" spans="2:6" ht="38.25">
      <c r="B144" s="19">
        <f t="shared" si="4"/>
        <v>140</v>
      </c>
      <c r="C144" s="22" t="s">
        <v>360</v>
      </c>
      <c r="D144" s="17" t="s">
        <v>96</v>
      </c>
      <c r="E144" s="11" t="str">
        <f t="shared" si="5"/>
        <v>Correcto</v>
      </c>
      <c r="F144" s="6">
        <f>IF(UPPER(D144)="lolita",1,0)</f>
        <v>1</v>
      </c>
    </row>
    <row r="145" spans="2:6" ht="76.5">
      <c r="B145" s="19">
        <f t="shared" si="4"/>
        <v>141</v>
      </c>
      <c r="C145" s="22" t="s">
        <v>201</v>
      </c>
      <c r="D145" s="17" t="s">
        <v>97</v>
      </c>
      <c r="E145" s="11" t="str">
        <f t="shared" si="5"/>
        <v>Correcto</v>
      </c>
      <c r="F145" s="6">
        <f>IF(UPPER(D145)="kramer contra kramer",1,0)</f>
        <v>1</v>
      </c>
    </row>
    <row r="146" spans="2:6" ht="63.75">
      <c r="B146" s="19">
        <f t="shared" si="4"/>
        <v>142</v>
      </c>
      <c r="C146" s="22" t="s">
        <v>204</v>
      </c>
      <c r="D146" s="17" t="s">
        <v>98</v>
      </c>
      <c r="E146" s="11" t="str">
        <f t="shared" si="5"/>
        <v>Correcto</v>
      </c>
      <c r="F146" s="6">
        <f>IF(UPPER(D146)="algunos hombres buenos",1,0)</f>
        <v>1</v>
      </c>
    </row>
    <row r="147" spans="2:6" ht="63.75">
      <c r="B147" s="19">
        <f t="shared" si="4"/>
        <v>143</v>
      </c>
      <c r="C147" s="22" t="s">
        <v>273</v>
      </c>
      <c r="D147" s="17" t="s">
        <v>245</v>
      </c>
      <c r="E147" s="11" t="str">
        <f t="shared" si="5"/>
        <v>Correcto</v>
      </c>
      <c r="F147" s="6">
        <f>IF(UPPER(D147)="los chicos del barrio",1,0)</f>
        <v>1</v>
      </c>
    </row>
    <row r="148" spans="2:6" ht="63.75">
      <c r="B148" s="19">
        <f t="shared" si="4"/>
        <v>144</v>
      </c>
      <c r="C148" s="22" t="s">
        <v>275</v>
      </c>
      <c r="D148" s="17" t="s">
        <v>99</v>
      </c>
      <c r="E148" s="11" t="str">
        <f t="shared" si="5"/>
        <v>Correcto</v>
      </c>
      <c r="F148" s="6">
        <f>IF(UPPER(D148)="pena de muerte",1,0)</f>
        <v>1</v>
      </c>
    </row>
    <row r="149" spans="2:6" ht="89.25">
      <c r="B149" s="19">
        <f t="shared" si="4"/>
        <v>145</v>
      </c>
      <c r="C149" s="22" t="s">
        <v>9</v>
      </c>
      <c r="D149" s="17" t="s">
        <v>153</v>
      </c>
      <c r="E149" s="11" t="str">
        <f t="shared" si="5"/>
        <v>Correcto</v>
      </c>
      <c r="F149" s="6">
        <f>IF(UPPER(D149)="sentido y sensibilidad",1,0)</f>
        <v>1</v>
      </c>
    </row>
    <row r="150" spans="2:6" ht="63.75">
      <c r="B150" s="19">
        <f t="shared" si="4"/>
        <v>146</v>
      </c>
      <c r="C150" s="22" t="s">
        <v>276</v>
      </c>
      <c r="D150" s="17" t="s">
        <v>100</v>
      </c>
      <c r="E150" s="11" t="str">
        <f t="shared" si="5"/>
        <v>Correcto</v>
      </c>
      <c r="F150" s="6">
        <f>IF(UPPER(D150)="semillas de rencor",1,0)</f>
        <v>1</v>
      </c>
    </row>
    <row r="151" spans="2:6" ht="38.25">
      <c r="B151" s="19">
        <f t="shared" si="4"/>
        <v>147</v>
      </c>
      <c r="C151" s="22" t="s">
        <v>274</v>
      </c>
      <c r="D151" s="17" t="s">
        <v>154</v>
      </c>
      <c r="E151" s="11" t="str">
        <f t="shared" si="5"/>
        <v>Correcto</v>
      </c>
      <c r="F151" s="6">
        <f>IF(UPPER(D151)="mentes peligrosas",1,0)</f>
        <v>1</v>
      </c>
    </row>
    <row r="152" spans="2:6" ht="76.5">
      <c r="B152" s="19">
        <f t="shared" si="4"/>
        <v>148</v>
      </c>
      <c r="C152" s="22" t="s">
        <v>272</v>
      </c>
      <c r="D152" s="17" t="s">
        <v>155</v>
      </c>
      <c r="E152" s="11" t="str">
        <f t="shared" si="5"/>
        <v>Correcto</v>
      </c>
      <c r="F152" s="6">
        <f>IF(UPPER(D152)="lo que queda del dia",1,0)</f>
        <v>1</v>
      </c>
    </row>
    <row r="153" spans="2:6" ht="51">
      <c r="B153" s="19">
        <f t="shared" si="4"/>
        <v>149</v>
      </c>
      <c r="C153" s="22" t="s">
        <v>206</v>
      </c>
      <c r="D153" s="17" t="s">
        <v>156</v>
      </c>
      <c r="E153" s="11" t="str">
        <f t="shared" si="5"/>
        <v>Correcto</v>
      </c>
      <c r="F153" s="6">
        <f>IF(UPPER(D153)="el dilema",1,0)</f>
        <v>1</v>
      </c>
    </row>
    <row r="154" spans="2:6" ht="63.75">
      <c r="B154" s="19">
        <f t="shared" si="4"/>
        <v>150</v>
      </c>
      <c r="C154" s="22" t="s">
        <v>207</v>
      </c>
      <c r="D154" s="17" t="s">
        <v>101</v>
      </c>
      <c r="E154" s="11" t="str">
        <f t="shared" si="5"/>
        <v>Correcto</v>
      </c>
      <c r="F154" s="6">
        <f>IF(UPPER(D154)="el show de truman",1,0)</f>
        <v>1</v>
      </c>
    </row>
    <row r="155" spans="2:6" ht="114.75">
      <c r="B155" s="19">
        <f t="shared" si="4"/>
        <v>151</v>
      </c>
      <c r="C155" s="22" t="s">
        <v>202</v>
      </c>
      <c r="D155" s="17" t="s">
        <v>165</v>
      </c>
      <c r="E155" s="11" t="str">
        <f t="shared" si="5"/>
        <v>Correcto</v>
      </c>
      <c r="F155" s="6">
        <f>IF(UPPER(D155)="krull",1,0)</f>
        <v>1</v>
      </c>
    </row>
    <row r="156" spans="2:6" ht="102">
      <c r="B156" s="19">
        <f t="shared" si="4"/>
        <v>152</v>
      </c>
      <c r="C156" s="22" t="s">
        <v>205</v>
      </c>
      <c r="D156" s="17" t="s">
        <v>102</v>
      </c>
      <c r="E156" s="11" t="str">
        <f t="shared" si="5"/>
        <v>Correcto</v>
      </c>
      <c r="F156" s="6">
        <f>IF(UPPER(D156)="el club de los poetas muertos",1,0)</f>
        <v>1</v>
      </c>
    </row>
    <row r="157" spans="2:6" ht="63.75">
      <c r="B157" s="19">
        <f t="shared" si="4"/>
        <v>153</v>
      </c>
      <c r="C157" s="22" t="s">
        <v>203</v>
      </c>
      <c r="D157" s="17" t="s">
        <v>157</v>
      </c>
      <c r="E157" s="11" t="str">
        <f t="shared" si="5"/>
        <v>Correcto</v>
      </c>
      <c r="F157" s="6">
        <f>IF(UPPER(D157)="camino de perdicion",1,0)</f>
        <v>1</v>
      </c>
    </row>
    <row r="158" spans="2:6" ht="102">
      <c r="B158" s="19">
        <f t="shared" si="4"/>
        <v>154</v>
      </c>
      <c r="C158" s="22" t="s">
        <v>200</v>
      </c>
      <c r="D158" s="17" t="s">
        <v>158</v>
      </c>
      <c r="E158" s="11" t="str">
        <f t="shared" si="5"/>
        <v>Correcto</v>
      </c>
      <c r="F158" s="6">
        <f>IF(UPPER(D158)="kickboxer",1,0)</f>
        <v>1</v>
      </c>
    </row>
    <row r="159" spans="2:6" ht="76.5">
      <c r="B159" s="19">
        <f t="shared" si="4"/>
        <v>155</v>
      </c>
      <c r="C159" s="22" t="s">
        <v>362</v>
      </c>
      <c r="D159" s="17" t="s">
        <v>159</v>
      </c>
      <c r="E159" s="11" t="str">
        <f t="shared" si="5"/>
        <v>Correcto</v>
      </c>
      <c r="F159" s="6">
        <f>IF(UPPER(D159)="lunas de hiel",1,0)</f>
        <v>1</v>
      </c>
    </row>
    <row r="160" spans="2:6" ht="114.75">
      <c r="B160" s="19">
        <f t="shared" si="4"/>
        <v>156</v>
      </c>
      <c r="C160" s="22" t="s">
        <v>361</v>
      </c>
      <c r="D160" s="17" t="s">
        <v>160</v>
      </c>
      <c r="E160" s="11" t="str">
        <f t="shared" si="5"/>
        <v>Correcto</v>
      </c>
      <c r="F160" s="6">
        <f>IF(UPPER(D160)="love story",1,0)</f>
        <v>1</v>
      </c>
    </row>
    <row r="161" spans="2:6" ht="89.25">
      <c r="B161" s="19">
        <f t="shared" si="4"/>
        <v>157</v>
      </c>
      <c r="C161" s="22" t="s">
        <v>359</v>
      </c>
      <c r="D161" s="17" t="s">
        <v>161</v>
      </c>
      <c r="E161" s="11" t="str">
        <f t="shared" si="5"/>
        <v>Correcto</v>
      </c>
      <c r="F161" s="6">
        <f>IF(UPPER(D161)="la llave magica",1,0)</f>
        <v>1</v>
      </c>
    </row>
    <row r="162" spans="2:6" ht="76.5">
      <c r="B162" s="19">
        <f t="shared" si="4"/>
        <v>158</v>
      </c>
      <c r="C162" s="22" t="s">
        <v>357</v>
      </c>
      <c r="D162" s="17" t="s">
        <v>162</v>
      </c>
      <c r="E162" s="11" t="str">
        <f t="shared" si="5"/>
        <v>Correcto</v>
      </c>
      <c r="F162" s="6">
        <f>IF(UPPER(D162)="leyendas de pasion",1,0)</f>
        <v>1</v>
      </c>
    </row>
    <row r="163" spans="2:6" ht="102">
      <c r="B163" s="19">
        <f t="shared" si="4"/>
        <v>159</v>
      </c>
      <c r="C163" s="22" t="s">
        <v>235</v>
      </c>
      <c r="D163" s="17" t="s">
        <v>140</v>
      </c>
      <c r="E163" s="11" t="str">
        <f t="shared" si="5"/>
        <v>Correcto</v>
      </c>
      <c r="F163" s="6">
        <f>IF(UPPER(D163)="mujercitas",1,0)</f>
        <v>1</v>
      </c>
    </row>
    <row r="164" spans="2:6" ht="76.5">
      <c r="B164" s="19">
        <f t="shared" si="4"/>
        <v>160</v>
      </c>
      <c r="C164" s="22" t="s">
        <v>254</v>
      </c>
      <c r="D164" s="17" t="s">
        <v>103</v>
      </c>
      <c r="E164" s="11" t="str">
        <f t="shared" si="5"/>
        <v>Correcto</v>
      </c>
      <c r="F164" s="6">
        <f>IF(UPPER(D164)="jumanji",1,0)</f>
        <v>1</v>
      </c>
    </row>
    <row r="165" spans="2:6" ht="63.75">
      <c r="B165" s="19">
        <f t="shared" si="4"/>
        <v>161</v>
      </c>
      <c r="C165" s="22" t="s">
        <v>236</v>
      </c>
      <c r="D165" s="17" t="s">
        <v>163</v>
      </c>
      <c r="E165" s="11" t="str">
        <f t="shared" si="5"/>
        <v>Correcto</v>
      </c>
      <c r="F165" s="6">
        <f>IF(UPPER(D165)="mujeres al borde de un ataque de nervios",1,0)</f>
        <v>1</v>
      </c>
    </row>
    <row r="166" spans="2:6" ht="51">
      <c r="B166" s="19">
        <f t="shared" si="4"/>
        <v>162</v>
      </c>
      <c r="C166" s="22" t="s">
        <v>258</v>
      </c>
      <c r="D166" s="17" t="s">
        <v>164</v>
      </c>
      <c r="E166" s="11" t="str">
        <f t="shared" si="5"/>
        <v>Correcto</v>
      </c>
      <c r="F166" s="6">
        <f>IF(UPPER(D166)="legend",1,0)</f>
        <v>1</v>
      </c>
    </row>
    <row r="167" spans="2:6" ht="76.5">
      <c r="B167" s="19">
        <f t="shared" si="4"/>
        <v>163</v>
      </c>
      <c r="C167" s="22" t="s">
        <v>257</v>
      </c>
      <c r="D167" s="17" t="s">
        <v>104</v>
      </c>
      <c r="E167" s="11" t="str">
        <f t="shared" si="5"/>
        <v>Correcto</v>
      </c>
      <c r="F167" s="6">
        <f>IF(UPPER(D167)="el lago azul",1,0)</f>
        <v>1</v>
      </c>
    </row>
    <row r="168" spans="2:6" ht="89.25">
      <c r="B168" s="19">
        <f t="shared" si="4"/>
        <v>164</v>
      </c>
      <c r="C168" s="22" t="s">
        <v>256</v>
      </c>
      <c r="D168" s="17" t="s">
        <v>105</v>
      </c>
      <c r="E168" s="11" t="str">
        <f t="shared" si="5"/>
        <v>Correcto</v>
      </c>
      <c r="F168" s="6">
        <f>IF(UPPER(D168)="lady halcon",1,0)</f>
        <v>1</v>
      </c>
    </row>
    <row r="169" spans="2:6" ht="51">
      <c r="B169" s="19">
        <f aca="true" t="shared" si="6" ref="B169:B204">B168+1</f>
        <v>165</v>
      </c>
      <c r="C169" s="22" t="s">
        <v>252</v>
      </c>
      <c r="D169" s="17" t="s">
        <v>106</v>
      </c>
      <c r="E169" s="11" t="str">
        <f aca="true" t="shared" si="7" ref="E169:E204">IF(F169=0,"Incorrecto","Correcto")</f>
        <v>Correcto</v>
      </c>
      <c r="F169" s="6">
        <f>IF(UPPER(D169)="la jauria humana",1,0)</f>
        <v>1</v>
      </c>
    </row>
    <row r="170" spans="2:6" ht="76.5">
      <c r="B170" s="19">
        <f t="shared" si="6"/>
        <v>166</v>
      </c>
      <c r="C170" s="22" t="s">
        <v>233</v>
      </c>
      <c r="D170" s="17" t="s">
        <v>166</v>
      </c>
      <c r="E170" s="11" t="str">
        <f t="shared" si="7"/>
        <v>Correcto</v>
      </c>
      <c r="F170" s="6">
        <f>IF(UPPER(D170)="muerte entre las flores",1,0)</f>
        <v>1</v>
      </c>
    </row>
    <row r="171" spans="2:6" ht="114.75">
      <c r="B171" s="19">
        <f t="shared" si="6"/>
        <v>167</v>
      </c>
      <c r="C171" s="22" t="s">
        <v>231</v>
      </c>
      <c r="D171" s="17" t="s">
        <v>107</v>
      </c>
      <c r="E171" s="11" t="str">
        <f t="shared" si="7"/>
        <v>Correcto</v>
      </c>
      <c r="F171" s="6">
        <f>IF(UPPER(D171)="misterioso asesinato en manhattan",1,0)</f>
        <v>1</v>
      </c>
    </row>
    <row r="172" spans="2:6" ht="89.25">
      <c r="B172" s="19">
        <f t="shared" si="6"/>
        <v>168</v>
      </c>
      <c r="C172" s="22" t="s">
        <v>303</v>
      </c>
      <c r="D172" s="17" t="s">
        <v>108</v>
      </c>
      <c r="E172" s="11" t="str">
        <f t="shared" si="7"/>
        <v>Correcto</v>
      </c>
      <c r="F172" s="6">
        <f>IF(UPPER(D172)="mira quien habla",1,0)</f>
        <v>1</v>
      </c>
    </row>
    <row r="173" spans="2:6" ht="76.5">
      <c r="B173" s="19">
        <f t="shared" si="6"/>
        <v>169</v>
      </c>
      <c r="C173" s="22" t="s">
        <v>301</v>
      </c>
      <c r="D173" s="17" t="s">
        <v>167</v>
      </c>
      <c r="E173" s="11" t="str">
        <f t="shared" si="7"/>
        <v>Correcto</v>
      </c>
      <c r="F173" s="6">
        <f>IF(UPPER(D173)="mientras dormias",1,0)</f>
        <v>1</v>
      </c>
    </row>
    <row r="174" spans="2:6" ht="102">
      <c r="B174" s="19">
        <f t="shared" si="6"/>
        <v>170</v>
      </c>
      <c r="C174" s="22" t="s">
        <v>11</v>
      </c>
      <c r="D174" s="17" t="s">
        <v>109</v>
      </c>
      <c r="E174" s="11" t="str">
        <f t="shared" si="7"/>
        <v>Correcto</v>
      </c>
      <c r="F174" s="6">
        <f>IF(UPPER(D174)="memento",1,0)</f>
        <v>1</v>
      </c>
    </row>
    <row r="175" spans="2:6" ht="89.25">
      <c r="B175" s="19">
        <f t="shared" si="6"/>
        <v>171</v>
      </c>
      <c r="C175" s="22" t="s">
        <v>0</v>
      </c>
      <c r="D175" s="17" t="s">
        <v>110</v>
      </c>
      <c r="E175" s="11" t="str">
        <f t="shared" si="7"/>
        <v>Correcto</v>
      </c>
      <c r="F175" s="6">
        <f>IF(UPPER(D175)="mary poppins",1,0)</f>
        <v>1</v>
      </c>
    </row>
    <row r="176" spans="2:6" ht="102">
      <c r="B176" s="19">
        <f t="shared" si="6"/>
        <v>172</v>
      </c>
      <c r="C176" s="22" t="s">
        <v>271</v>
      </c>
      <c r="D176" s="17" t="s">
        <v>168</v>
      </c>
      <c r="E176" s="11" t="str">
        <f t="shared" si="7"/>
        <v>Correcto</v>
      </c>
      <c r="F176" s="6">
        <f>IF(UPPER(D176)="marnie la ladrona",1,0)</f>
        <v>1</v>
      </c>
    </row>
    <row r="177" spans="2:6" ht="89.25">
      <c r="B177" s="19">
        <f t="shared" si="6"/>
        <v>173</v>
      </c>
      <c r="C177" s="22" t="s">
        <v>198</v>
      </c>
      <c r="D177" s="17" t="s">
        <v>169</v>
      </c>
      <c r="E177" s="11" t="str">
        <f t="shared" si="7"/>
        <v>Correcto</v>
      </c>
      <c r="F177" s="6">
        <f>IF(UPPER(D177)="mad max",1,0)</f>
        <v>1</v>
      </c>
    </row>
    <row r="178" spans="2:6" ht="63.75">
      <c r="B178" s="19">
        <f t="shared" si="6"/>
        <v>174</v>
      </c>
      <c r="C178" s="22" t="s">
        <v>195</v>
      </c>
      <c r="D178" s="17" t="s">
        <v>170</v>
      </c>
      <c r="E178" s="11" t="str">
        <f t="shared" si="7"/>
        <v>Correcto</v>
      </c>
      <c r="F178" s="6">
        <f>IF(UPPER(D178)="el indomable will hunting",1,0)</f>
        <v>1</v>
      </c>
    </row>
    <row r="179" spans="2:6" ht="102">
      <c r="B179" s="19">
        <f t="shared" si="6"/>
        <v>175</v>
      </c>
      <c r="C179" s="22" t="s">
        <v>224</v>
      </c>
      <c r="D179" s="17" t="s">
        <v>171</v>
      </c>
      <c r="E179" s="11" t="str">
        <f t="shared" si="7"/>
        <v>Correcto</v>
      </c>
      <c r="F179" s="6">
        <f>IF(UPPER(D179)="nueve semanas y media",1,0)</f>
        <v>1</v>
      </c>
    </row>
    <row r="180" spans="2:6" ht="63.75">
      <c r="B180" s="19">
        <f t="shared" si="6"/>
        <v>176</v>
      </c>
      <c r="C180" s="22" t="s">
        <v>292</v>
      </c>
      <c r="D180" s="17" t="s">
        <v>111</v>
      </c>
      <c r="E180" s="11" t="str">
        <f t="shared" si="7"/>
        <v>Correcto</v>
      </c>
      <c r="F180" s="6">
        <f>IF(UPPER(D180)="no me chilles que no te veo",1,0)</f>
        <v>1</v>
      </c>
    </row>
    <row r="181" spans="2:6" ht="63.75">
      <c r="B181" s="19">
        <f t="shared" si="6"/>
        <v>177</v>
      </c>
      <c r="C181" s="22" t="s">
        <v>22</v>
      </c>
      <c r="D181" s="17" t="s">
        <v>172</v>
      </c>
      <c r="E181" s="11" t="str">
        <f t="shared" si="7"/>
        <v>Correcto</v>
      </c>
      <c r="F181" s="6">
        <f>IF(UPPER(D181)="grease",1,0)</f>
        <v>1</v>
      </c>
    </row>
    <row r="182" spans="2:6" ht="140.25">
      <c r="B182" s="19">
        <f t="shared" si="6"/>
        <v>178</v>
      </c>
      <c r="C182" s="22" t="s">
        <v>290</v>
      </c>
      <c r="D182" s="17" t="s">
        <v>173</v>
      </c>
      <c r="E182" s="11" t="str">
        <f t="shared" si="7"/>
        <v>Correcto</v>
      </c>
      <c r="F182" s="6">
        <f>IF(UPPER(D182)="el hombre tranquilo",1,0)</f>
        <v>1</v>
      </c>
    </row>
    <row r="183" spans="2:6" ht="102">
      <c r="B183" s="19">
        <f t="shared" si="6"/>
        <v>179</v>
      </c>
      <c r="C183" s="22" t="s">
        <v>287</v>
      </c>
      <c r="D183" s="17" t="s">
        <v>174</v>
      </c>
      <c r="E183" s="11" t="str">
        <f t="shared" si="7"/>
        <v>Correcto</v>
      </c>
      <c r="F183" s="6">
        <f>IF(UPPER(D183)="hero",1,0)</f>
        <v>1</v>
      </c>
    </row>
    <row r="184" spans="2:6" ht="76.5">
      <c r="B184" s="19">
        <f t="shared" si="6"/>
        <v>180</v>
      </c>
      <c r="C184" s="22" t="s">
        <v>17</v>
      </c>
      <c r="D184" s="17" t="s">
        <v>175</v>
      </c>
      <c r="E184" s="11" t="str">
        <f t="shared" si="7"/>
        <v>Correcto</v>
      </c>
      <c r="F184" s="6">
        <f>IF(UPPER(D184)="hechizo de luna",1,0)</f>
        <v>1</v>
      </c>
    </row>
    <row r="185" spans="2:6" ht="63.75">
      <c r="B185" s="19">
        <f t="shared" si="6"/>
        <v>181</v>
      </c>
      <c r="C185" s="22" t="s">
        <v>20</v>
      </c>
      <c r="D185" s="17" t="s">
        <v>176</v>
      </c>
      <c r="E185" s="11" t="str">
        <f t="shared" si="7"/>
        <v>Correcto</v>
      </c>
      <c r="F185" s="6">
        <f>IF(UPPER(D185)="el graduado",1,0)</f>
        <v>1</v>
      </c>
    </row>
    <row r="186" spans="2:6" ht="76.5">
      <c r="B186" s="19">
        <f t="shared" si="6"/>
        <v>182</v>
      </c>
      <c r="C186" s="22" t="s">
        <v>389</v>
      </c>
      <c r="D186" s="17" t="s">
        <v>112</v>
      </c>
      <c r="E186" s="11" t="str">
        <f t="shared" si="7"/>
        <v>Correcto</v>
      </c>
      <c r="F186" s="6">
        <f>IF(UPPER(D186)="golpe en la pequeña china",1,0)</f>
        <v>1</v>
      </c>
    </row>
    <row r="187" spans="2:6" ht="102">
      <c r="B187" s="19">
        <f t="shared" si="6"/>
        <v>183</v>
      </c>
      <c r="C187" s="22" t="s">
        <v>387</v>
      </c>
      <c r="D187" s="17" t="s">
        <v>177</v>
      </c>
      <c r="E187" s="11" t="str">
        <f t="shared" si="7"/>
        <v>Correcto</v>
      </c>
      <c r="F187" s="6">
        <f>IF(UPPER(D187)="gilda",1,0)</f>
        <v>1</v>
      </c>
    </row>
    <row r="188" spans="2:6" ht="114.75">
      <c r="B188" s="19">
        <f t="shared" si="6"/>
        <v>184</v>
      </c>
      <c r="C188" s="22" t="s">
        <v>385</v>
      </c>
      <c r="D188" s="17" t="s">
        <v>113</v>
      </c>
      <c r="E188" s="11" t="str">
        <f t="shared" si="7"/>
        <v>Correcto</v>
      </c>
      <c r="F188" s="6">
        <f>IF(UPPER(D188)="the game",1,0)</f>
        <v>1</v>
      </c>
    </row>
    <row r="189" spans="2:6" ht="102">
      <c r="B189" s="19">
        <f t="shared" si="6"/>
        <v>185</v>
      </c>
      <c r="C189" s="22" t="s">
        <v>382</v>
      </c>
      <c r="D189" s="17" t="s">
        <v>114</v>
      </c>
      <c r="E189" s="11" t="str">
        <f t="shared" si="7"/>
        <v>Correcto</v>
      </c>
      <c r="F189" s="6">
        <f>IF(UPPER(D189)="el protegido",1,0)</f>
        <v>1</v>
      </c>
    </row>
    <row r="190" spans="2:6" ht="89.25">
      <c r="B190" s="19">
        <f t="shared" si="6"/>
        <v>186</v>
      </c>
      <c r="C190" s="22" t="s">
        <v>8</v>
      </c>
      <c r="D190" s="17" t="s">
        <v>115</v>
      </c>
      <c r="E190" s="11" t="str">
        <f t="shared" si="7"/>
        <v>Correcto</v>
      </c>
      <c r="F190" s="6">
        <f>IF(UPPER(D190)="el principe de zamunda",1,0)</f>
        <v>1</v>
      </c>
    </row>
    <row r="191" spans="2:6" ht="76.5">
      <c r="B191" s="19">
        <f t="shared" si="6"/>
        <v>187</v>
      </c>
      <c r="C191" s="22" t="s">
        <v>5</v>
      </c>
      <c r="D191" s="17" t="s">
        <v>178</v>
      </c>
      <c r="E191" s="11" t="str">
        <f t="shared" si="7"/>
        <v>Correcto</v>
      </c>
      <c r="F191" s="6">
        <f>IF(UPPER(D191)="poderosa afrodita",1,0)</f>
        <v>1</v>
      </c>
    </row>
    <row r="192" spans="2:6" ht="140.25">
      <c r="B192" s="19">
        <f t="shared" si="6"/>
        <v>188</v>
      </c>
      <c r="C192" s="22" t="s">
        <v>3</v>
      </c>
      <c r="D192" s="17" t="s">
        <v>116</v>
      </c>
      <c r="E192" s="11" t="str">
        <f t="shared" si="7"/>
        <v>Correcto</v>
      </c>
      <c r="F192" s="6">
        <f>IF(UPPER(D192)="philadelphia",1,0)</f>
        <v>1</v>
      </c>
    </row>
    <row r="193" spans="2:6" ht="76.5">
      <c r="B193" s="19">
        <f t="shared" si="6"/>
        <v>189</v>
      </c>
      <c r="C193" s="22" t="s">
        <v>2</v>
      </c>
      <c r="D193" s="17" t="s">
        <v>90</v>
      </c>
      <c r="E193" s="11" t="str">
        <f t="shared" si="7"/>
        <v>Correcto</v>
      </c>
      <c r="F193" s="6">
        <f>IF(UPPER(D193)="un pez llamado wanda",1,0)</f>
        <v>1</v>
      </c>
    </row>
    <row r="194" spans="2:6" ht="89.25">
      <c r="B194" s="19">
        <f t="shared" si="6"/>
        <v>190</v>
      </c>
      <c r="C194" s="22" t="s">
        <v>210</v>
      </c>
      <c r="D194" s="17" t="s">
        <v>117</v>
      </c>
      <c r="E194" s="11" t="str">
        <f t="shared" si="7"/>
        <v>Correcto</v>
      </c>
      <c r="F194" s="6">
        <f>IF(UPPER(D194)="papillon",1,0)</f>
        <v>1</v>
      </c>
    </row>
    <row r="195" spans="2:6" ht="89.25">
      <c r="B195" s="19">
        <f t="shared" si="6"/>
        <v>191</v>
      </c>
      <c r="C195" s="22" t="s">
        <v>209</v>
      </c>
      <c r="D195" s="17" t="s">
        <v>118</v>
      </c>
      <c r="E195" s="11" t="str">
        <f t="shared" si="7"/>
        <v>Correcto</v>
      </c>
      <c r="F195" s="6">
        <f>IF(UPPER(D195)="los pajaros",1,0)</f>
        <v>1</v>
      </c>
    </row>
    <row r="196" spans="2:6" ht="127.5">
      <c r="B196" s="19">
        <f t="shared" si="6"/>
        <v>192</v>
      </c>
      <c r="C196" s="22" t="s">
        <v>208</v>
      </c>
      <c r="D196" s="17" t="s">
        <v>179</v>
      </c>
      <c r="E196" s="11" t="str">
        <f t="shared" si="7"/>
        <v>Correcto</v>
      </c>
      <c r="F196" s="6">
        <f>IF(UPPER(D196)="furia de titanes",1,0)</f>
        <v>1</v>
      </c>
    </row>
    <row r="197" spans="2:6" ht="76.5">
      <c r="B197" s="19">
        <f t="shared" si="6"/>
        <v>193</v>
      </c>
      <c r="C197" s="22" t="s">
        <v>400</v>
      </c>
      <c r="D197" s="17" t="s">
        <v>180</v>
      </c>
      <c r="E197" s="11" t="str">
        <f t="shared" si="7"/>
        <v>Correcto</v>
      </c>
      <c r="F197" s="6">
        <f>IF(UPPER(D197)="dos tontos muy tontos",1,0)</f>
        <v>1</v>
      </c>
    </row>
    <row r="198" spans="2:6" ht="127.5">
      <c r="B198" s="19">
        <f t="shared" si="6"/>
        <v>194</v>
      </c>
      <c r="C198" s="22" t="s">
        <v>399</v>
      </c>
      <c r="D198" s="17" t="s">
        <v>119</v>
      </c>
      <c r="E198" s="11" t="str">
        <f t="shared" si="7"/>
        <v>Correcto</v>
      </c>
      <c r="F198" s="6">
        <f>IF(UPPER(D198)="un domingo cualquiera",1,0)</f>
        <v>1</v>
      </c>
    </row>
    <row r="199" spans="2:6" ht="51">
      <c r="B199" s="19">
        <f t="shared" si="6"/>
        <v>195</v>
      </c>
      <c r="C199" s="22" t="s">
        <v>391</v>
      </c>
      <c r="D199" s="17" t="s">
        <v>120</v>
      </c>
      <c r="E199" s="11" t="str">
        <f t="shared" si="7"/>
        <v>Correcto</v>
      </c>
      <c r="F199" s="6">
        <f>IF(UPPER(D199)="carros de fuego",1,0)</f>
        <v>1</v>
      </c>
    </row>
    <row r="200" spans="2:6" ht="89.25">
      <c r="B200" s="19">
        <f t="shared" si="6"/>
        <v>196</v>
      </c>
      <c r="C200" s="22" t="s">
        <v>394</v>
      </c>
      <c r="D200" s="17" t="s">
        <v>181</v>
      </c>
      <c r="E200" s="11" t="str">
        <f t="shared" si="7"/>
        <v>Correcto</v>
      </c>
      <c r="F200" s="6">
        <f>IF(UPPER(D200)="charada",1,0)</f>
        <v>1</v>
      </c>
    </row>
    <row r="201" spans="2:6" ht="63.75">
      <c r="B201" s="19">
        <f t="shared" si="6"/>
        <v>197</v>
      </c>
      <c r="C201" s="22" t="s">
        <v>392</v>
      </c>
      <c r="D201" s="17" t="s">
        <v>182</v>
      </c>
      <c r="E201" s="11" t="str">
        <f t="shared" si="7"/>
        <v>Correcto</v>
      </c>
      <c r="F201" s="6">
        <f>IF(UPPER(D201)="el cartero siempre llama dos veces",1,0)</f>
        <v>1</v>
      </c>
    </row>
    <row r="202" spans="2:6" ht="63.75">
      <c r="B202" s="19">
        <f t="shared" si="6"/>
        <v>198</v>
      </c>
      <c r="C202" s="22" t="s">
        <v>398</v>
      </c>
      <c r="D202" s="17" t="s">
        <v>121</v>
      </c>
      <c r="E202" s="11" t="str">
        <f t="shared" si="7"/>
        <v>Correcto</v>
      </c>
      <c r="F202" s="6">
        <f>IF(UPPER(D202)="dirty dancing",1,0)</f>
        <v>1</v>
      </c>
    </row>
    <row r="203" spans="2:6" ht="102">
      <c r="B203" s="19">
        <f t="shared" si="6"/>
        <v>199</v>
      </c>
      <c r="C203" s="22" t="s">
        <v>393</v>
      </c>
      <c r="D203" s="17" t="s">
        <v>122</v>
      </c>
      <c r="E203" s="11" t="str">
        <f t="shared" si="7"/>
        <v>Correcto</v>
      </c>
      <c r="F203" s="6">
        <f>IF(UPPER(D203)="el castañazo",1,0)</f>
        <v>1</v>
      </c>
    </row>
    <row r="204" spans="2:6" ht="114.75">
      <c r="B204" s="19">
        <f t="shared" si="6"/>
        <v>200</v>
      </c>
      <c r="C204" s="22" t="s">
        <v>390</v>
      </c>
      <c r="D204" s="17" t="s">
        <v>183</v>
      </c>
      <c r="E204" s="11" t="str">
        <f t="shared" si="7"/>
        <v>Correcto</v>
      </c>
      <c r="F204" s="6">
        <f>IF(UPPER(D204)="cantando bajo la lluvia",1,0)</f>
        <v>1</v>
      </c>
    </row>
  </sheetData>
  <sheetProtection password="DE1F" sheet="1" objects="1" scenarios="1" selectLockedCells="1"/>
  <conditionalFormatting sqref="E5:E204">
    <cfRule type="cellIs" priority="1" dxfId="0" operator="equal" stopIfTrue="1">
      <formula>"Incorrecto"</formula>
    </cfRule>
    <cfRule type="cellIs" priority="2" dxfId="1" operator="equal" stopIfTrue="1">
      <formula>"Correcto"</formula>
    </cfRule>
  </conditionalFormatting>
  <printOptions/>
  <pageMargins left="0.75" right="0.75" top="1" bottom="1"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Hoja2"/>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sheetPr codeName="Hoja3"/>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Lobo</dc:creator>
  <cp:keywords/>
  <dc:description/>
  <cp:lastModifiedBy>Pableras</cp:lastModifiedBy>
  <cp:lastPrinted>2004-05-04T23:13:15Z</cp:lastPrinted>
  <dcterms:created xsi:type="dcterms:W3CDTF">2004-05-04T22:33:31Z</dcterms:created>
  <dcterms:modified xsi:type="dcterms:W3CDTF">2005-06-26T12:24:26Z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-279280995</vt:i4>
  </property>
  <property fmtid="{D5CDD505-2E9C-101B-9397-08002B2CF9AE}" pid="3" name="_EmailSubject">
    <vt:lpwstr>Más quizzes</vt:lpwstr>
  </property>
  <property fmtid="{D5CDD505-2E9C-101B-9397-08002B2CF9AE}" pid="4" name="_AuthorEmail">
    <vt:lpwstr>pyagues@universia.net</vt:lpwstr>
  </property>
  <property fmtid="{D5CDD505-2E9C-101B-9397-08002B2CF9AE}" pid="5" name="_AuthorEmailDisplayName">
    <vt:lpwstr>Pedro Yagüe S-R</vt:lpwstr>
  </property>
  <property fmtid="{D5CDD505-2E9C-101B-9397-08002B2CF9AE}" pid="6" name="_ReviewingToolsShownOnce">
    <vt:lpwstr/>
  </property>
</Properties>
</file>